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4" documentId="8_{4C372892-E9C3-428B-950B-C5A505A38EBC}" xr6:coauthVersionLast="47" xr6:coauthVersionMax="47" xr10:uidLastSave="{BC7EDBD7-DFD7-4FDA-BE4A-4C2D2E40D334}"/>
  <bookViews>
    <workbookView xWindow="384" yWindow="384" windowWidth="14712" windowHeight="8880" firstSheet="3"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5" i="11" l="1"/>
  <c r="C16" i="11"/>
  <c r="B33" i="4" l="1"/>
  <c r="B32" i="4"/>
  <c r="B31" i="4"/>
  <c r="B26" i="4"/>
  <c r="B25" i="4"/>
  <c r="B24" i="4"/>
  <c r="B22" i="4"/>
  <c r="B21" i="4"/>
  <c r="B20" i="4"/>
  <c r="B16" i="4"/>
  <c r="B13" i="4"/>
  <c r="B12" i="4"/>
  <c r="B11" i="4"/>
  <c r="B10" i="4"/>
  <c r="B8" i="4"/>
  <c r="B6" i="4"/>
  <c r="D10" i="1"/>
  <c r="B10" i="1"/>
  <c r="B4" i="1" l="1"/>
  <c r="B3" i="1"/>
  <c r="H6" i="12" l="1"/>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8" i="10"/>
  <c r="B28" i="10" s="1"/>
  <c r="A33" i="10"/>
  <c r="B33" i="10" s="1"/>
  <c r="A18" i="10"/>
  <c r="B18"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A39" i="12"/>
  <c r="A28" i="8"/>
  <c r="B28" i="8" s="1"/>
  <c r="A36" i="9"/>
  <c r="B36" i="9" s="1"/>
  <c r="C36" i="9" s="1"/>
  <c r="A37" i="12"/>
  <c r="A26" i="8"/>
  <c r="B26" i="8" s="1"/>
  <c r="C27" i="8"/>
  <c r="F27" i="8" s="1"/>
  <c r="I27" i="8"/>
  <c r="A42" i="12"/>
  <c r="A33" i="9"/>
  <c r="A51" i="12"/>
  <c r="A31" i="9"/>
  <c r="B31" i="9" s="1"/>
  <c r="I31" i="9" s="1"/>
  <c r="A49" i="12"/>
  <c r="I18" i="10"/>
  <c r="C18" i="10"/>
  <c r="I33" i="10"/>
  <c r="C33" i="10"/>
  <c r="I23" i="10"/>
  <c r="C23" i="10"/>
  <c r="C13" i="10"/>
  <c r="I13" i="10"/>
  <c r="C28" i="10"/>
  <c r="I28" i="10"/>
  <c r="A21" i="8"/>
  <c r="B21" i="8" s="1"/>
  <c r="I21" i="8" s="1"/>
  <c r="A17" i="12"/>
  <c r="A22" i="10"/>
  <c r="B22" i="10" s="1"/>
  <c r="A17" i="10"/>
  <c r="B17" i="10" s="1"/>
  <c r="A27" i="10"/>
  <c r="B27" i="10" s="1"/>
  <c r="A32" i="10"/>
  <c r="B32" i="10" s="1"/>
  <c r="A12" i="10"/>
  <c r="B12" i="10" s="1"/>
  <c r="A19" i="12"/>
  <c r="A34" i="10"/>
  <c r="B34" i="10" s="1"/>
  <c r="A24" i="10"/>
  <c r="B24" i="10" s="1"/>
  <c r="A19" i="10"/>
  <c r="B19" i="10" s="1"/>
  <c r="A29" i="10"/>
  <c r="B29" i="10" s="1"/>
  <c r="A14" i="10"/>
  <c r="B14" i="10" s="1"/>
  <c r="A26" i="12"/>
  <c r="A34" i="12"/>
  <c r="A22" i="12"/>
  <c r="A30" i="12"/>
  <c r="C43" i="9"/>
  <c r="I43" i="9"/>
  <c r="C42" i="9"/>
  <c r="C41" i="9"/>
  <c r="I38" i="9"/>
  <c r="C38" i="9"/>
  <c r="I37" i="9"/>
  <c r="C37" i="9"/>
  <c r="C32" i="9"/>
  <c r="I32" i="9"/>
  <c r="B33" i="9"/>
  <c r="A23" i="8"/>
  <c r="B23" i="8" s="1"/>
  <c r="I23" i="8" s="1"/>
  <c r="C22" i="8"/>
  <c r="C21" i="8"/>
  <c r="D29" i="4"/>
  <c r="D26" i="4"/>
  <c r="D27" i="4"/>
  <c r="D24" i="4"/>
  <c r="D17" i="4"/>
  <c r="D16" i="4"/>
  <c r="L6" i="10" s="1"/>
  <c r="D10" i="4"/>
  <c r="F11" i="8" s="1"/>
  <c r="D11" i="4"/>
  <c r="F17" i="9" s="1"/>
  <c r="D12" i="4"/>
  <c r="D13" i="4"/>
  <c r="D8" i="4"/>
  <c r="F17" i="8" s="1"/>
  <c r="I36" i="9" l="1"/>
  <c r="F35" i="9"/>
  <c r="H35" i="9" s="1"/>
  <c r="B9" i="12"/>
  <c r="B38" i="12" s="1"/>
  <c r="F30" i="9"/>
  <c r="H30" i="9" s="1"/>
  <c r="B12" i="12"/>
  <c r="B50" i="12" s="1"/>
  <c r="F40" i="9"/>
  <c r="H40" i="9" s="1"/>
  <c r="B11" i="12"/>
  <c r="B46" i="12" s="1"/>
  <c r="I26" i="8"/>
  <c r="C26" i="8"/>
  <c r="F26" i="8" s="1"/>
  <c r="A41" i="12"/>
  <c r="B37" i="12"/>
  <c r="J27" i="8"/>
  <c r="K27" i="8" s="1"/>
  <c r="H27" i="8"/>
  <c r="I28" i="8"/>
  <c r="C28" i="8"/>
  <c r="F28" i="8" s="1"/>
  <c r="A43" i="12"/>
  <c r="C42" i="12"/>
  <c r="B42" i="12"/>
  <c r="C31" i="9"/>
  <c r="F20" i="8"/>
  <c r="H20" i="8" s="1"/>
  <c r="B4" i="12"/>
  <c r="B19" i="12" s="1"/>
  <c r="F11" i="10"/>
  <c r="H11" i="10" s="1"/>
  <c r="F31" i="10"/>
  <c r="H31" i="10" s="1"/>
  <c r="F26" i="10"/>
  <c r="F28" i="10" s="1"/>
  <c r="F16" i="10"/>
  <c r="H16" i="10" s="1"/>
  <c r="F21" i="10"/>
  <c r="F23" i="10"/>
  <c r="F18" i="10"/>
  <c r="H18" i="10" s="1"/>
  <c r="I32" i="10"/>
  <c r="C32" i="10"/>
  <c r="F32" i="10" s="1"/>
  <c r="H32" i="10" s="1"/>
  <c r="C19" i="10"/>
  <c r="I19" i="10"/>
  <c r="I22" i="10"/>
  <c r="C22" i="10"/>
  <c r="C27" i="10"/>
  <c r="F27" i="10" s="1"/>
  <c r="I27" i="10"/>
  <c r="I17" i="10"/>
  <c r="C17" i="10"/>
  <c r="I24" i="10"/>
  <c r="C24" i="10"/>
  <c r="A25" i="12"/>
  <c r="A33" i="12"/>
  <c r="A21" i="12"/>
  <c r="A29" i="12"/>
  <c r="B17" i="12"/>
  <c r="C14" i="10"/>
  <c r="F14" i="10" s="1"/>
  <c r="H14" i="10" s="1"/>
  <c r="I14" i="10"/>
  <c r="I29" i="10"/>
  <c r="C29" i="10"/>
  <c r="F29" i="10" s="1"/>
  <c r="C34" i="10"/>
  <c r="I34" i="10"/>
  <c r="A31" i="12"/>
  <c r="A35" i="12"/>
  <c r="A27" i="12"/>
  <c r="A23" i="12"/>
  <c r="C12" i="10"/>
  <c r="I12" i="10"/>
  <c r="C8" i="9"/>
  <c r="H3" i="12"/>
  <c r="C10" i="11"/>
  <c r="C8" i="8"/>
  <c r="J11" i="8" s="1"/>
  <c r="K11" i="8" s="1"/>
  <c r="F38" i="9"/>
  <c r="H38" i="9" s="1"/>
  <c r="F37" i="9"/>
  <c r="H37" i="9" s="1"/>
  <c r="F36" i="9"/>
  <c r="H36" i="9" s="1"/>
  <c r="F31" i="9"/>
  <c r="H31" i="9" s="1"/>
  <c r="F32" i="9"/>
  <c r="H32" i="9" s="1"/>
  <c r="F11" i="9"/>
  <c r="F7" i="7"/>
  <c r="H17" i="9"/>
  <c r="F19" i="9"/>
  <c r="F20" i="9"/>
  <c r="F21" i="9"/>
  <c r="F18" i="9"/>
  <c r="H11" i="8"/>
  <c r="F13" i="8"/>
  <c r="F12" i="8"/>
  <c r="F14" i="8"/>
  <c r="F15" i="8"/>
  <c r="H17" i="8"/>
  <c r="F18" i="8"/>
  <c r="C23" i="8"/>
  <c r="I33" i="9"/>
  <c r="C33" i="9"/>
  <c r="F33" i="9" s="1"/>
  <c r="E10" i="1"/>
  <c r="F34" i="10" l="1"/>
  <c r="H34" i="10" s="1"/>
  <c r="F22" i="8"/>
  <c r="F43" i="9"/>
  <c r="H43" i="9" s="1"/>
  <c r="F13" i="10"/>
  <c r="H13" i="10" s="1"/>
  <c r="F23" i="8"/>
  <c r="H23" i="8" s="1"/>
  <c r="F21" i="8"/>
  <c r="F42" i="9"/>
  <c r="H42" i="9" s="1"/>
  <c r="F41" i="9"/>
  <c r="H41" i="9" s="1"/>
  <c r="B39" i="12"/>
  <c r="B49" i="12"/>
  <c r="B51" i="12"/>
  <c r="B47" i="12"/>
  <c r="B45" i="12"/>
  <c r="J28" i="8"/>
  <c r="K28" i="8" s="1"/>
  <c r="H28" i="8"/>
  <c r="B41" i="12"/>
  <c r="C41" i="12"/>
  <c r="J26" i="8"/>
  <c r="K26" i="8" s="1"/>
  <c r="H26" i="8"/>
  <c r="C43" i="12"/>
  <c r="B43" i="12"/>
  <c r="J13" i="8"/>
  <c r="K13" i="8" s="1"/>
  <c r="J20" i="8"/>
  <c r="K20" i="8" s="1"/>
  <c r="J17" i="8"/>
  <c r="K17" i="8" s="1"/>
  <c r="H28" i="10"/>
  <c r="J21" i="10"/>
  <c r="K21" i="10" s="1"/>
  <c r="H21" i="10"/>
  <c r="F24" i="10"/>
  <c r="J26" i="10"/>
  <c r="K26" i="10" s="1"/>
  <c r="H26" i="10"/>
  <c r="F22" i="10"/>
  <c r="J22" i="10" s="1"/>
  <c r="K22" i="10" s="1"/>
  <c r="H23" i="10"/>
  <c r="F17" i="10"/>
  <c r="H17" i="10" s="1"/>
  <c r="B34" i="12"/>
  <c r="B22" i="12"/>
  <c r="B6" i="12"/>
  <c r="B25" i="12" s="1"/>
  <c r="B18" i="12"/>
  <c r="F12" i="10"/>
  <c r="H12" i="10" s="1"/>
  <c r="F19" i="10"/>
  <c r="H19" i="10" s="1"/>
  <c r="F33" i="10"/>
  <c r="H33" i="10" s="1"/>
  <c r="J15" i="8"/>
  <c r="K15" i="8" s="1"/>
  <c r="J14" i="8"/>
  <c r="K14" i="8" s="1"/>
  <c r="J12" i="8"/>
  <c r="K12" i="8" s="1"/>
  <c r="B29" i="12"/>
  <c r="H24" i="10"/>
  <c r="J24" i="10"/>
  <c r="K24" i="10" s="1"/>
  <c r="B27" i="12"/>
  <c r="H29" i="10"/>
  <c r="H27" i="10"/>
  <c r="J30" i="9"/>
  <c r="J32" i="9" s="1"/>
  <c r="K32" i="9" s="1"/>
  <c r="J40" i="9"/>
  <c r="K40" i="9" s="1"/>
  <c r="J35" i="9"/>
  <c r="J38" i="9" s="1"/>
  <c r="K38" i="9" s="1"/>
  <c r="I8" i="10"/>
  <c r="E2" i="11"/>
  <c r="C11" i="12"/>
  <c r="H8" i="12"/>
  <c r="C9" i="12"/>
  <c r="C12" i="12"/>
  <c r="H22" i="8"/>
  <c r="H21" i="8"/>
  <c r="F6" i="9"/>
  <c r="J17" i="9" s="1"/>
  <c r="J18" i="9" s="1"/>
  <c r="F8" i="7"/>
  <c r="F23" i="9" s="1"/>
  <c r="F9" i="7"/>
  <c r="F26" i="9" s="1"/>
  <c r="F10" i="7"/>
  <c r="F28" i="9" s="1"/>
  <c r="J11" i="9"/>
  <c r="H11" i="9"/>
  <c r="F12" i="9"/>
  <c r="F13" i="9"/>
  <c r="F14" i="9"/>
  <c r="F15" i="9"/>
  <c r="H20" i="9"/>
  <c r="H21" i="9"/>
  <c r="H19" i="9"/>
  <c r="H18" i="9"/>
  <c r="H13" i="8"/>
  <c r="H15" i="8"/>
  <c r="H12" i="8"/>
  <c r="H14" i="8"/>
  <c r="H18" i="8"/>
  <c r="H33" i="9"/>
  <c r="E9" i="3"/>
  <c r="E5" i="3"/>
  <c r="E3" i="3"/>
  <c r="C3" i="3" s="1"/>
  <c r="J33" i="9" l="1"/>
  <c r="K33" i="9" s="1"/>
  <c r="J41" i="9"/>
  <c r="K41" i="9" s="1"/>
  <c r="J42" i="9"/>
  <c r="K42" i="9" s="1"/>
  <c r="J43" i="9"/>
  <c r="K43" i="9" s="1"/>
  <c r="H22" i="10"/>
  <c r="K35" i="9"/>
  <c r="J37" i="9"/>
  <c r="K37" i="9" s="1"/>
  <c r="J36" i="9"/>
  <c r="K36" i="9" s="1"/>
  <c r="K30" i="9"/>
  <c r="J31" i="9"/>
  <c r="K31" i="9" s="1"/>
  <c r="J23" i="8"/>
  <c r="K23" i="8" s="1"/>
  <c r="J21" i="8"/>
  <c r="K21" i="8" s="1"/>
  <c r="J22" i="8"/>
  <c r="K22" i="8" s="1"/>
  <c r="J18" i="8"/>
  <c r="K18" i="8" s="1"/>
  <c r="C8" i="12"/>
  <c r="B30" i="12"/>
  <c r="B21" i="12"/>
  <c r="J29" i="10"/>
  <c r="K29" i="10" s="1"/>
  <c r="B23" i="12"/>
  <c r="B33" i="12"/>
  <c r="B35" i="12"/>
  <c r="C5" i="12"/>
  <c r="C23" i="12" s="1"/>
  <c r="B31" i="12"/>
  <c r="J28" i="10"/>
  <c r="K28" i="10" s="1"/>
  <c r="C7" i="12"/>
  <c r="C35" i="12" s="1"/>
  <c r="J27" i="10"/>
  <c r="K27" i="10" s="1"/>
  <c r="C6" i="12"/>
  <c r="B26" i="12"/>
  <c r="J23" i="10"/>
  <c r="K23" i="10" s="1"/>
  <c r="C39" i="12"/>
  <c r="C37" i="12"/>
  <c r="C38" i="12"/>
  <c r="J16" i="10"/>
  <c r="J11" i="10"/>
  <c r="K8" i="10"/>
  <c r="J31" i="10" s="1"/>
  <c r="H7" i="12"/>
  <c r="C4" i="12" s="1"/>
  <c r="C46" i="12"/>
  <c r="C45" i="12"/>
  <c r="C47" i="12"/>
  <c r="C50" i="12"/>
  <c r="C51" i="12"/>
  <c r="C49"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4" i="12" l="1"/>
  <c r="C33" i="12"/>
  <c r="C26" i="12"/>
  <c r="C27" i="12"/>
  <c r="C25" i="12"/>
  <c r="C22" i="12"/>
  <c r="C21" i="12"/>
  <c r="C30" i="12"/>
  <c r="C31" i="12"/>
  <c r="C29" i="12"/>
  <c r="C18" i="12"/>
  <c r="C17" i="12"/>
  <c r="C19" i="12"/>
  <c r="J17" i="10"/>
  <c r="K17" i="10" s="1"/>
  <c r="K16" i="10"/>
  <c r="J19" i="10"/>
  <c r="K19" i="10" s="1"/>
  <c r="J18" i="10"/>
  <c r="K18" i="10" s="1"/>
  <c r="K31" i="10"/>
  <c r="J32" i="10"/>
  <c r="K32" i="10" s="1"/>
  <c r="J33" i="10"/>
  <c r="K33" i="10" s="1"/>
  <c r="J34" i="10"/>
  <c r="K34" i="10" s="1"/>
  <c r="K11" i="10"/>
  <c r="J13" i="10"/>
  <c r="K13" i="10" s="1"/>
  <c r="J12" i="10"/>
  <c r="K12" i="10" s="1"/>
  <c r="J14" i="10"/>
  <c r="K14"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<sst xmlns="http://schemas.openxmlformats.org/spreadsheetml/2006/main" count="307" uniqueCount="195">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</sst>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EL/JRC-IDEES-2015_Residential_E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EL/JRC-IDEES-2015_Transport_E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4159.2208183303037</v>
          </cell>
        </row>
        <row r="162">
          <cell r="Q162">
            <v>549.08930040743428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4208.983132758467</v>
          </cell>
        </row>
        <row r="56">
          <cell r="Q56">
            <v>12155.523492852113</v>
          </cell>
        </row>
      </sheetData>
      <sheetData sheetId="3">
        <row r="150">
          <cell r="Q150">
            <v>26.026211588596983</v>
          </cell>
        </row>
      </sheetData>
      <sheetData sheetId="4">
        <row r="62">
          <cell r="Q62">
            <v>3.9008685074660412</v>
          </cell>
        </row>
        <row r="64">
          <cell r="Q64">
            <v>5.9364248834432685</v>
          </cell>
        </row>
        <row r="65">
          <cell r="Q65">
            <v>5.5867081169049104</v>
          </cell>
        </row>
        <row r="68">
          <cell r="Q68">
            <v>2.6294023194193308</v>
          </cell>
        </row>
        <row r="69">
          <cell r="Q69">
            <v>2.9921691860581463</v>
          </cell>
        </row>
        <row r="70">
          <cell r="Q70">
            <v>53.551007230569859</v>
          </cell>
        </row>
      </sheetData>
      <sheetData sheetId="5">
        <row r="48">
          <cell r="Q48">
            <v>2.9014524000000002</v>
          </cell>
        </row>
        <row r="49">
          <cell r="Q49">
            <v>2.9000363508314106</v>
          </cell>
        </row>
      </sheetData>
      <sheetData sheetId="6" refreshError="1"/>
      <sheetData sheetId="7">
        <row r="62">
          <cell r="Q62">
            <v>83.366336633663366</v>
          </cell>
        </row>
        <row r="63">
          <cell r="Q63">
            <v>82.103210321032094</v>
          </cell>
        </row>
        <row r="66">
          <cell r="Q66">
            <v>0</v>
          </cell>
        </row>
      </sheetData>
      <sheetData sheetId="8">
        <row r="31">
          <cell r="Q31">
            <v>46.511850607410281</v>
          </cell>
        </row>
        <row r="33">
          <cell r="Q33">
            <v>567.28232022461043</v>
          </cell>
        </row>
        <row r="34">
          <cell r="Q34">
            <v>244.20383997534395</v>
          </cell>
        </row>
      </sheetData>
      <sheetData sheetId="9" refreshError="1"/>
      <sheetData sheetId="10">
        <row r="69">
          <cell r="Q69">
            <v>119.74348199654042</v>
          </cell>
        </row>
      </sheetData>
      <sheetData sheetId="11">
        <row r="37">
          <cell r="Q37">
            <v>2806.7392620068081</v>
          </cell>
        </row>
      </sheetData>
      <sheetData sheetId="12">
        <row r="41">
          <cell r="Q41">
            <v>8448.9162755360812</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549.08930040743428</v>
      </c>
      <c r="C3" s="6">
        <v>0.73899999999999999</v>
      </c>
      <c r="D3" s="2">
        <f>B3*$C3</f>
        <v>405.7769930010939</v>
      </c>
      <c r="E3" s="31">
        <v>356.63</v>
      </c>
    </row>
    <row r="4" spans="1:5" x14ac:dyDescent="0.3">
      <c r="A4" s="1" t="s">
        <v>5</v>
      </c>
      <c r="B4" s="6">
        <f>[1]RES_summary!$Q$157</f>
        <v>4159.2208183303037</v>
      </c>
      <c r="C4" s="6">
        <v>0.20200000000000001</v>
      </c>
      <c r="D4" s="29">
        <f>B4*$C4</f>
        <v>840.16260530272143</v>
      </c>
      <c r="E4" s="31">
        <v>514.91</v>
      </c>
    </row>
    <row r="5" spans="1:5" x14ac:dyDescent="0.3">
      <c r="A5" s="1" t="s">
        <v>6</v>
      </c>
      <c r="B5" s="2">
        <f>B3+B4</f>
        <v>4708.3101187377379</v>
      </c>
      <c r="C5" s="3" t="s">
        <v>7</v>
      </c>
      <c r="D5" s="29">
        <f>D3+D4</f>
        <v>1245.9395983038153</v>
      </c>
      <c r="E5" s="31">
        <f>E3+E4</f>
        <v>871.54</v>
      </c>
    </row>
    <row r="7" spans="1:5" x14ac:dyDescent="0.3">
      <c r="A7" t="s">
        <v>20</v>
      </c>
      <c r="B7" s="5">
        <v>10858018</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4208.983132758467</v>
      </c>
      <c r="C10" s="2">
        <f>B10*11630*1000/B7</f>
        <v>4508.2328868842333</v>
      </c>
      <c r="D10" s="6">
        <f>[2]Transport!$Q$56</f>
        <v>12155.523492852113</v>
      </c>
      <c r="E10" s="2">
        <f>D10*1000000/B7</f>
        <v>1119.4974527443326</v>
      </c>
    </row>
    <row r="11" spans="1:5" x14ac:dyDescent="0.3">
      <c r="A11" s="39" t="s">
        <v>142</v>
      </c>
      <c r="B11" s="40">
        <f>B10*11630</f>
        <v>48950473.83398097</v>
      </c>
      <c r="C11" s="40" t="s">
        <v>143</v>
      </c>
      <c r="D11" s="40">
        <f>D10*1000</f>
        <v>12155523.492852112</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411.81697530557574</v>
      </c>
      <c r="C2" s="35">
        <f>E2*0.9</f>
        <v>494.18037036669085</v>
      </c>
      <c r="D2" s="35">
        <f>0.95*E2</f>
        <v>521.63483538706259</v>
      </c>
      <c r="E2" s="35">
        <f>'Cons and emi per capita'!B3</f>
        <v>549.08930040743428</v>
      </c>
      <c r="F2" s="35">
        <f>1.05*E2</f>
        <v>576.54376542780597</v>
      </c>
      <c r="G2" s="35">
        <f>1.25*E2</f>
        <v>686.36162550929282</v>
      </c>
      <c r="H2" s="12" t="s">
        <v>28</v>
      </c>
    </row>
    <row r="3" spans="1:8" x14ac:dyDescent="0.3">
      <c r="A3" s="1" t="s">
        <v>5</v>
      </c>
      <c r="B3" s="35">
        <f t="shared" ref="B3:B4" si="0">0.75*E3</f>
        <v>3119.4156137477275</v>
      </c>
      <c r="C3" s="35">
        <f t="shared" ref="C3:C4" si="1">E3*0.9</f>
        <v>3743.2987364972732</v>
      </c>
      <c r="D3" s="35">
        <f t="shared" ref="D3:D9" si="2">0.95*E3</f>
        <v>3951.2597774137885</v>
      </c>
      <c r="E3" s="17">
        <f>'Cons and emi per capita'!B4</f>
        <v>4159.2208183303037</v>
      </c>
      <c r="F3" s="35">
        <f t="shared" ref="F3:F9" si="3">1.05*E3</f>
        <v>4367.1818592468189</v>
      </c>
      <c r="G3" s="35">
        <f t="shared" ref="G3:G4" si="4">1.25*E3</f>
        <v>5199.0260229128799</v>
      </c>
      <c r="H3" s="1" t="s">
        <v>28</v>
      </c>
    </row>
    <row r="4" spans="1:8" x14ac:dyDescent="0.3">
      <c r="A4" s="1" t="s">
        <v>18</v>
      </c>
      <c r="B4" s="35">
        <f t="shared" si="0"/>
        <v>3531.2325890533034</v>
      </c>
      <c r="C4" s="35">
        <f t="shared" si="1"/>
        <v>4237.4791068639643</v>
      </c>
      <c r="D4" s="35">
        <f t="shared" si="2"/>
        <v>4472.8946128008511</v>
      </c>
      <c r="E4" s="17">
        <f>E2+E3</f>
        <v>4708.3101187377379</v>
      </c>
      <c r="F4" s="35">
        <f t="shared" si="3"/>
        <v>4943.7256246746247</v>
      </c>
      <c r="G4" s="35">
        <f t="shared" si="4"/>
        <v>5885.3876484221728</v>
      </c>
      <c r="H4" s="1" t="s">
        <v>28</v>
      </c>
    </row>
    <row r="5" spans="1:8" x14ac:dyDescent="0.3">
      <c r="A5" s="1" t="s">
        <v>33</v>
      </c>
      <c r="B5" s="17">
        <f>0.84*E5</f>
        <v>3786.9156249827556</v>
      </c>
      <c r="C5" s="35">
        <f>E5*0.91</f>
        <v>4102.4919270646524</v>
      </c>
      <c r="D5" s="35">
        <f t="shared" si="2"/>
        <v>4282.8212425400216</v>
      </c>
      <c r="E5" s="17">
        <f>'Cons and emi per capita'!C10</f>
        <v>4508.2328868842333</v>
      </c>
      <c r="F5" s="35">
        <f t="shared" si="3"/>
        <v>4733.644531228445</v>
      </c>
      <c r="G5" s="17">
        <f>1.16*E5</f>
        <v>5229.55014878571</v>
      </c>
      <c r="H5" s="1" t="s">
        <v>28</v>
      </c>
    </row>
    <row r="6" spans="1:8" x14ac:dyDescent="0.3">
      <c r="A6" s="1" t="s">
        <v>29</v>
      </c>
      <c r="B6" s="17">
        <f>0.75*E6</f>
        <v>304.33274475082044</v>
      </c>
      <c r="C6" s="35">
        <f>E6*0.9</f>
        <v>365.19929370098453</v>
      </c>
      <c r="D6" s="35">
        <f t="shared" si="2"/>
        <v>385.48814335103918</v>
      </c>
      <c r="E6" s="17">
        <f>'Cons and emi per capita'!D3</f>
        <v>405.7769930010939</v>
      </c>
      <c r="F6" s="35">
        <f t="shared" si="3"/>
        <v>426.06584265114861</v>
      </c>
      <c r="G6" s="17">
        <f>1.25*E6</f>
        <v>507.22124125136736</v>
      </c>
      <c r="H6" s="1" t="s">
        <v>30</v>
      </c>
    </row>
    <row r="7" spans="1:8" x14ac:dyDescent="0.3">
      <c r="A7" s="1" t="s">
        <v>31</v>
      </c>
      <c r="B7" s="17">
        <f>0.75*E7</f>
        <v>630.12195397704113</v>
      </c>
      <c r="C7" s="35">
        <f t="shared" ref="C7:C8" si="5">E7*0.9</f>
        <v>756.14634477244931</v>
      </c>
      <c r="D7" s="35">
        <f t="shared" si="2"/>
        <v>798.15447503758537</v>
      </c>
      <c r="E7" s="17">
        <f>'Cons and emi per capita'!D4</f>
        <v>840.16260530272143</v>
      </c>
      <c r="F7" s="35">
        <f t="shared" si="3"/>
        <v>882.17073556785749</v>
      </c>
      <c r="G7" s="17">
        <f t="shared" ref="G7:G8" si="6">1.25*E7</f>
        <v>1050.2032566284017</v>
      </c>
      <c r="H7" s="1" t="s">
        <v>30</v>
      </c>
    </row>
    <row r="8" spans="1:8" x14ac:dyDescent="0.3">
      <c r="A8" s="1" t="s">
        <v>32</v>
      </c>
      <c r="B8" s="17">
        <f t="shared" ref="B8" si="7">0.75*E8</f>
        <v>934.45469872786146</v>
      </c>
      <c r="C8" s="35">
        <f t="shared" si="5"/>
        <v>1121.3456384734338</v>
      </c>
      <c r="D8" s="35">
        <f t="shared" si="2"/>
        <v>1183.6426183886244</v>
      </c>
      <c r="E8" s="17">
        <f>E6+E7</f>
        <v>1245.9395983038153</v>
      </c>
      <c r="F8" s="35">
        <f t="shared" si="3"/>
        <v>1308.2365782190061</v>
      </c>
      <c r="G8" s="17">
        <f t="shared" si="6"/>
        <v>1557.4244978797692</v>
      </c>
      <c r="H8" s="1" t="s">
        <v>30</v>
      </c>
    </row>
    <row r="9" spans="1:8" x14ac:dyDescent="0.3">
      <c r="A9" s="1" t="s">
        <v>34</v>
      </c>
      <c r="B9" s="17">
        <f>0.84*E9</f>
        <v>940.37786030523932</v>
      </c>
      <c r="C9" s="35">
        <f>E9*0.91</f>
        <v>1018.7426819973426</v>
      </c>
      <c r="D9" s="35">
        <f t="shared" si="2"/>
        <v>1063.5225801071158</v>
      </c>
      <c r="E9" s="17">
        <f>'Cons and emi per capita'!E10</f>
        <v>1119.4974527443326</v>
      </c>
      <c r="F9" s="35">
        <f t="shared" si="3"/>
        <v>1175.4723253815494</v>
      </c>
      <c r="G9" s="17">
        <f>1.16*E9</f>
        <v>1298.6170451834257</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7318.1482140360586</v>
      </c>
      <c r="C13" s="37">
        <f t="shared" ref="C13:G13" si="8">SUM(C4:C5)</f>
        <v>8339.9710339286175</v>
      </c>
      <c r="D13" s="37">
        <f t="shared" si="8"/>
        <v>8755.7158553408735</v>
      </c>
      <c r="E13" s="37">
        <f t="shared" si="8"/>
        <v>9216.5430056219702</v>
      </c>
      <c r="F13" s="37">
        <f t="shared" si="8"/>
        <v>9677.3701559030706</v>
      </c>
      <c r="G13" s="37">
        <f t="shared" si="8"/>
        <v>11114.937797207884</v>
      </c>
    </row>
    <row r="14" spans="1:8" x14ac:dyDescent="0.3">
      <c r="B14" s="37">
        <f>SUM(B8:B9)</f>
        <v>1874.8325590331008</v>
      </c>
      <c r="C14" s="37">
        <f t="shared" ref="C14:G14" si="9">SUM(C8:C9)</f>
        <v>2140.0883204707766</v>
      </c>
      <c r="D14" s="37">
        <f t="shared" si="9"/>
        <v>2247.1651984957402</v>
      </c>
      <c r="E14" s="37">
        <f t="shared" si="9"/>
        <v>2365.4370510481476</v>
      </c>
      <c r="F14" s="37">
        <f t="shared" si="9"/>
        <v>2483.7089036005555</v>
      </c>
      <c r="G14" s="37">
        <f t="shared" si="9"/>
        <v>2856.0415430631947</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3" zoomScale="90" zoomScaleNormal="90" workbookViewId="0">
      <selection activeCell="B34" sqref="B34"/>
    </sheetView>
  </sheetViews>
  <sheetFormatPr baseColWidth="10" defaultRowHeight="14.4" x14ac:dyDescent="0.3"/>
  <cols>
    <col min="1" max="1" width="35.21875" customWidth="1"/>
    <col min="2" max="2" width="20" bestFit="1"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8.2763352851738414</v>
      </c>
      <c r="I5" s="17">
        <f>B6</f>
        <v>26.026211588596983</v>
      </c>
      <c r="J5" s="17">
        <f>J$4*I5/I$4</f>
        <v>43.776087892020122</v>
      </c>
    </row>
    <row r="6" spans="1:11" x14ac:dyDescent="0.3">
      <c r="A6" s="1" t="s">
        <v>40</v>
      </c>
      <c r="B6" s="6">
        <f>[2]TrRoad_act!$Q$150</f>
        <v>26.026211588596983</v>
      </c>
      <c r="C6" s="1" t="s">
        <v>59</v>
      </c>
      <c r="D6" s="3" t="s">
        <v>7</v>
      </c>
      <c r="E6" s="1"/>
      <c r="G6" s="1" t="s">
        <v>83</v>
      </c>
      <c r="H6" s="17">
        <f t="shared" ref="H6:H8" si="0">H$4*I6/I$4</f>
        <v>26.510495049504954</v>
      </c>
      <c r="I6" s="17">
        <f>B20</f>
        <v>83.366336633663366</v>
      </c>
      <c r="J6" s="17">
        <f t="shared" ref="J6:J8" si="1">J$4*I6/I$4</f>
        <v>140.22217821782178</v>
      </c>
    </row>
    <row r="7" spans="1:11" x14ac:dyDescent="0.3">
      <c r="A7" s="57" t="s">
        <v>61</v>
      </c>
      <c r="B7" s="57"/>
      <c r="C7" s="57"/>
      <c r="D7" s="57"/>
      <c r="E7" s="57"/>
      <c r="G7" s="1" t="s">
        <v>84</v>
      </c>
      <c r="H7" s="17">
        <f t="shared" si="0"/>
        <v>26.108820882088207</v>
      </c>
      <c r="I7" s="17">
        <f>B21</f>
        <v>82.103210321032094</v>
      </c>
      <c r="J7" s="17">
        <f t="shared" si="1"/>
        <v>138.09759975997596</v>
      </c>
    </row>
    <row r="8" spans="1:11" x14ac:dyDescent="0.3">
      <c r="A8" s="1" t="s">
        <v>42</v>
      </c>
      <c r="B8" s="6">
        <f>[2]TrRoad_ene!$Q$62</f>
        <v>3.9008685074660412</v>
      </c>
      <c r="C8" s="74" t="s">
        <v>60</v>
      </c>
      <c r="D8" s="27">
        <f>B8*11.63/100</f>
        <v>0.45367100741830063</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5.761566500174089</v>
      </c>
      <c r="C10" s="74"/>
      <c r="D10" s="27">
        <f t="shared" ref="D10:D13" si="2">B10*11.63/100</f>
        <v>0.67007018397024665</v>
      </c>
      <c r="E10" s="74"/>
    </row>
    <row r="11" spans="1:11" x14ac:dyDescent="0.3">
      <c r="A11" s="1" t="s">
        <v>45</v>
      </c>
      <c r="B11" s="6">
        <f>[2]TrRoad_ene!$Q$68</f>
        <v>2.6294023194193308</v>
      </c>
      <c r="C11" s="74"/>
      <c r="D11" s="27">
        <f t="shared" si="2"/>
        <v>0.30579948974846816</v>
      </c>
      <c r="E11" s="74"/>
    </row>
    <row r="12" spans="1:11" x14ac:dyDescent="0.3">
      <c r="A12" s="1" t="s">
        <v>46</v>
      </c>
      <c r="B12" s="6">
        <f>[2]TrRoad_ene!$Q$69</f>
        <v>2.9921691860581463</v>
      </c>
      <c r="C12" s="74"/>
      <c r="D12" s="27">
        <f t="shared" si="2"/>
        <v>0.34798927633856247</v>
      </c>
      <c r="E12" s="74"/>
    </row>
    <row r="13" spans="1:11" x14ac:dyDescent="0.3">
      <c r="A13" s="1" t="s">
        <v>40</v>
      </c>
      <c r="B13" s="6">
        <f>[2]TrRoad_ene!$Q$70</f>
        <v>53.551007230569859</v>
      </c>
      <c r="C13" s="74"/>
      <c r="D13" s="27">
        <f t="shared" si="2"/>
        <v>6.2279821409152749</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2.9007443754157052</v>
      </c>
      <c r="C16" s="1" t="s">
        <v>62</v>
      </c>
      <c r="D16" s="28">
        <f>B16*1000/11630</f>
        <v>0.24941912084399873</v>
      </c>
      <c r="E16" s="1" t="s">
        <v>47</v>
      </c>
    </row>
    <row r="17" spans="1:5" x14ac:dyDescent="0.3">
      <c r="A17" s="1" t="s">
        <v>65</v>
      </c>
      <c r="B17" s="6">
        <v>0.52200000000000002</v>
      </c>
      <c r="C17" s="1" t="s">
        <v>47</v>
      </c>
      <c r="D17" s="2">
        <f>B17</f>
        <v>0.52200000000000002</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83.366336633663366</v>
      </c>
      <c r="C20" s="68" t="s">
        <v>59</v>
      </c>
      <c r="D20" s="3" t="s">
        <v>7</v>
      </c>
      <c r="E20" s="1"/>
    </row>
    <row r="21" spans="1:5" x14ac:dyDescent="0.3">
      <c r="A21" s="1" t="s">
        <v>51</v>
      </c>
      <c r="B21" s="6">
        <f>[2]TrRail_act!$Q$63</f>
        <v>82.103210321032094</v>
      </c>
      <c r="C21" s="69"/>
      <c r="D21" s="3" t="s">
        <v>7</v>
      </c>
      <c r="E21" s="1"/>
    </row>
    <row r="22" spans="1:5" x14ac:dyDescent="0.3">
      <c r="A22" s="1" t="s">
        <v>52</v>
      </c>
      <c r="B22" s="6">
        <f>[2]TrRail_act!$Q$66</f>
        <v>0</v>
      </c>
      <c r="C22" s="70"/>
      <c r="D22" s="3" t="s">
        <v>7</v>
      </c>
      <c r="E22" s="1"/>
    </row>
    <row r="23" spans="1:5" x14ac:dyDescent="0.3">
      <c r="A23" s="65" t="s">
        <v>53</v>
      </c>
      <c r="B23" s="66"/>
      <c r="C23" s="66"/>
      <c r="D23" s="66"/>
      <c r="E23" s="67"/>
    </row>
    <row r="24" spans="1:5" x14ac:dyDescent="0.3">
      <c r="A24" s="1" t="s">
        <v>50</v>
      </c>
      <c r="B24" s="6">
        <f>[2]TrRail_ene!$Q$31</f>
        <v>46.511850607410281</v>
      </c>
      <c r="C24" s="71" t="s">
        <v>60</v>
      </c>
      <c r="D24" s="2">
        <f>B24*11.63/100</f>
        <v>5.4093282256418158</v>
      </c>
      <c r="E24" s="71" t="s">
        <v>41</v>
      </c>
    </row>
    <row r="25" spans="1:5" x14ac:dyDescent="0.3">
      <c r="A25" s="1" t="s">
        <v>144</v>
      </c>
      <c r="B25" s="6">
        <f>[2]TrRail_ene!$Q$33</f>
        <v>567.28232022461043</v>
      </c>
      <c r="C25" s="72"/>
      <c r="D25" s="27">
        <f t="shared" ref="D25:D27" si="3">B25*11.63/100</f>
        <v>65.974933842122198</v>
      </c>
      <c r="E25" s="72"/>
    </row>
    <row r="26" spans="1:5" x14ac:dyDescent="0.3">
      <c r="A26" s="1" t="s">
        <v>51</v>
      </c>
      <c r="B26" s="6">
        <f>[2]TrRail_ene!$Q$34</f>
        <v>244.20383997534395</v>
      </c>
      <c r="C26" s="72"/>
      <c r="D26" s="27">
        <f t="shared" si="3"/>
        <v>28.400906589132504</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0.52200000000000002</v>
      </c>
      <c r="C29" s="1" t="s">
        <v>47</v>
      </c>
      <c r="D29" s="2">
        <f>B29</f>
        <v>0.52200000000000002</v>
      </c>
      <c r="E29" s="1" t="s">
        <v>47</v>
      </c>
    </row>
    <row r="30" spans="1:5" x14ac:dyDescent="0.3">
      <c r="A30" s="62" t="s">
        <v>54</v>
      </c>
      <c r="B30" s="63"/>
      <c r="C30" s="63"/>
      <c r="D30" s="63"/>
      <c r="E30" s="64"/>
    </row>
    <row r="31" spans="1:5" x14ac:dyDescent="0.3">
      <c r="A31" s="1" t="s">
        <v>68</v>
      </c>
      <c r="B31" s="6">
        <f>[2]TrAvia_act!$Q$69</f>
        <v>119.74348199654042</v>
      </c>
      <c r="C31" s="1" t="s">
        <v>67</v>
      </c>
      <c r="D31" s="3" t="s">
        <v>7</v>
      </c>
      <c r="E31" s="1"/>
    </row>
    <row r="32" spans="1:5" x14ac:dyDescent="0.3">
      <c r="A32" s="1" t="s">
        <v>72</v>
      </c>
      <c r="B32" s="6">
        <f>[2]TrAvia_ene!$Q$37</f>
        <v>2806.7392620068081</v>
      </c>
      <c r="C32" s="1" t="s">
        <v>69</v>
      </c>
      <c r="D32" s="28">
        <f>B32*11.63*10^(-3)/B31</f>
        <v>0.27260254230858488</v>
      </c>
      <c r="E32" s="1" t="s">
        <v>55</v>
      </c>
    </row>
    <row r="33" spans="1:5" x14ac:dyDescent="0.3">
      <c r="A33" s="1" t="s">
        <v>71</v>
      </c>
      <c r="B33" s="6">
        <f>[2]TrAvia_emi!$Q$41</f>
        <v>8448.9162755360812</v>
      </c>
      <c r="C33" s="1" t="s">
        <v>70</v>
      </c>
      <c r="D33" s="28">
        <f>B33/B31</f>
        <v>70.558464934067842</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topLeftCell="A16" zoomScale="70" zoomScaleNormal="70" workbookViewId="0">
      <selection activeCell="B41" sqref="B41:C43"/>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0.52200000000000002</v>
      </c>
    </row>
    <row r="4" spans="1:8" x14ac:dyDescent="0.3">
      <c r="A4" t="s">
        <v>87</v>
      </c>
      <c r="B4">
        <f>'Passenger transport data'!D13</f>
        <v>6.2279821409152749</v>
      </c>
      <c r="C4">
        <f>Tabla4[[#This Row],[ENERGY CONSUMPTION PER VEHICLE]]*H7</f>
        <v>1.552979209686526</v>
      </c>
      <c r="G4" t="s">
        <v>165</v>
      </c>
      <c r="H4">
        <f>BUS!C16</f>
        <v>0.24935511607910577</v>
      </c>
    </row>
    <row r="5" spans="1:8" x14ac:dyDescent="0.3">
      <c r="A5" t="s">
        <v>179</v>
      </c>
      <c r="C5">
        <f>Tabla4[[#This Row],[ENERGY CONSUMPTION PER VEHICLE]]*H3</f>
        <v>0</v>
      </c>
      <c r="G5" t="s">
        <v>180</v>
      </c>
      <c r="H5">
        <f>'Passenger transport data'!D15</f>
        <v>0.26655202063628547</v>
      </c>
    </row>
    <row r="6" spans="1:8" x14ac:dyDescent="0.3">
      <c r="A6" t="s">
        <v>181</v>
      </c>
      <c r="B6">
        <f>B4</f>
        <v>6.2279821409152749</v>
      </c>
      <c r="C6">
        <f>Tabla4[[#This Row],[ENERGY CONSUMPTION PER VEHICLE]]*H4</f>
        <v>1.552979209686526</v>
      </c>
      <c r="G6" t="s">
        <v>182</v>
      </c>
      <c r="H6">
        <f>BUS!E5</f>
        <v>0.22800000000000001</v>
      </c>
    </row>
    <row r="7" spans="1:8" x14ac:dyDescent="0.3">
      <c r="A7" t="s">
        <v>191</v>
      </c>
      <c r="C7">
        <f>Tabla4[[#This Row],[ENERGY CONSUMPTION PER VEHICLE]]*H8</f>
        <v>0</v>
      </c>
      <c r="G7" t="s">
        <v>184</v>
      </c>
      <c r="H7">
        <f>BUS!E2</f>
        <v>0.24935511607910577</v>
      </c>
    </row>
    <row r="8" spans="1:8" x14ac:dyDescent="0.3">
      <c r="A8" t="s">
        <v>183</v>
      </c>
      <c r="C8">
        <f>Tabla4[[#This Row],[ENERGY CONSUMPTION PER VEHICLE]]*H6</f>
        <v>0</v>
      </c>
      <c r="G8" t="s">
        <v>192</v>
      </c>
      <c r="H8">
        <f>0.5*H3+0.5*H4</f>
        <v>0.38567755803955289</v>
      </c>
    </row>
    <row r="9" spans="1:8" x14ac:dyDescent="0.3">
      <c r="A9" t="s">
        <v>185</v>
      </c>
      <c r="B9">
        <f>'Passenger transport data'!D26</f>
        <v>28.400906589132504</v>
      </c>
      <c r="C9">
        <f>Tabla4[[#This Row],[ENERGY CONSUMPTION PER VEHICLE]]*H3</f>
        <v>14.825273239527167</v>
      </c>
    </row>
    <row r="10" spans="1:8" x14ac:dyDescent="0.3">
      <c r="A10" t="s">
        <v>146</v>
      </c>
      <c r="B10">
        <f>'Passenger transport data'!D25</f>
        <v>65.974933842122198</v>
      </c>
      <c r="C10">
        <f>Tabla4[[#This Row],[ENERGY CONSUMPTION PER VEHICLE]]*H5</f>
        <v>17.585751926962924</v>
      </c>
    </row>
    <row r="11" spans="1:8" x14ac:dyDescent="0.3">
      <c r="A11" t="s">
        <v>103</v>
      </c>
      <c r="B11">
        <f>'Passenger transport data'!D27</f>
        <v>0</v>
      </c>
      <c r="C11">
        <f>Tabla4[[#This Row],[ENERGY CONSUMPTION PER VEHICLE]]*H3</f>
        <v>0</v>
      </c>
    </row>
    <row r="12" spans="1:8" x14ac:dyDescent="0.3">
      <c r="A12" t="s">
        <v>186</v>
      </c>
      <c r="B12">
        <f>'Passenger transport data'!D24</f>
        <v>5.4093282256418158</v>
      </c>
      <c r="C12">
        <f>Tabla4[[#This Row],[ENERGY CONSUMPTION PER VEHICLE]]*H3</f>
        <v>2.8236693337850278</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8.2763352851738414</v>
      </c>
      <c r="B17">
        <f>B4/Tabla5[[#This Row],[LEVEL OF OCCUPANCY]]</f>
        <v>0.75250481358241139</v>
      </c>
      <c r="C17">
        <f>C4/Tabla5[[#This Row],[LEVEL OF OCCUPANCY]]</f>
        <v>0.18764092514092803</v>
      </c>
    </row>
    <row r="18" spans="1:3" x14ac:dyDescent="0.3">
      <c r="A18" s="37">
        <f>'Passenger transport data'!I5</f>
        <v>26.026211588596983</v>
      </c>
      <c r="B18">
        <f>B4/Tabla5[[#This Row],[LEVEL OF OCCUPANCY]]</f>
        <v>0.23929653071920684</v>
      </c>
      <c r="C18">
        <f>C4/Tabla5[[#This Row],[LEVEL OF OCCUPANCY]]</f>
        <v>5.9669814194815124E-2</v>
      </c>
    </row>
    <row r="19" spans="1:3" x14ac:dyDescent="0.3">
      <c r="A19" s="37">
        <f>'Passenger transport data'!J5</f>
        <v>43.776087892020122</v>
      </c>
      <c r="B19">
        <f>B4/Tabla5[[#This Row],[LEVEL OF OCCUPANCY]]</f>
        <v>0.1422690432337734</v>
      </c>
      <c r="C19">
        <f>C4/Tabla5[[#This Row],[LEVEL OF OCCUPANCY]]</f>
        <v>3.5475513790020882E-2</v>
      </c>
    </row>
    <row r="20" spans="1:3" x14ac:dyDescent="0.3">
      <c r="A20" t="s">
        <v>179</v>
      </c>
    </row>
    <row r="21" spans="1:3" x14ac:dyDescent="0.3">
      <c r="A21" s="37">
        <f>A17</f>
        <v>8.2763352851738414</v>
      </c>
      <c r="B21">
        <f>B5/Tabla5[[#This Row],[LEVEL OF OCCUPANCY]]</f>
        <v>0</v>
      </c>
      <c r="C21">
        <f>C5/Tabla5[[#This Row],[LEVEL OF OCCUPANCY]]</f>
        <v>0</v>
      </c>
    </row>
    <row r="22" spans="1:3" x14ac:dyDescent="0.3">
      <c r="A22" s="37">
        <f>A18</f>
        <v>26.026211588596983</v>
      </c>
      <c r="B22">
        <f>B5/Tabla5[[#This Row],[LEVEL OF OCCUPANCY]]</f>
        <v>0</v>
      </c>
      <c r="C22">
        <f>C5/Tabla5[[#This Row],[LEVEL OF OCCUPANCY]]</f>
        <v>0</v>
      </c>
    </row>
    <row r="23" spans="1:3" x14ac:dyDescent="0.3">
      <c r="A23" s="37">
        <f>A19</f>
        <v>43.776087892020122</v>
      </c>
      <c r="B23">
        <f>B5/Tabla5[[#This Row],[LEVEL OF OCCUPANCY]]</f>
        <v>0</v>
      </c>
      <c r="C23">
        <f>C5/Tabla5[[#This Row],[LEVEL OF OCCUPANCY]]</f>
        <v>0</v>
      </c>
    </row>
    <row r="24" spans="1:3" x14ac:dyDescent="0.3">
      <c r="A24" t="s">
        <v>181</v>
      </c>
    </row>
    <row r="25" spans="1:3" x14ac:dyDescent="0.3">
      <c r="A25" s="37">
        <f>A17</f>
        <v>8.2763352851738414</v>
      </c>
      <c r="B25">
        <f>B6/Tabla5[[#This Row],[LEVEL OF OCCUPANCY]]</f>
        <v>0.75250481358241139</v>
      </c>
      <c r="C25">
        <f>C6/Tabla5[[#This Row],[LEVEL OF OCCUPANCY]]</f>
        <v>0.18764092514092803</v>
      </c>
    </row>
    <row r="26" spans="1:3" x14ac:dyDescent="0.3">
      <c r="A26" s="37">
        <f>A18</f>
        <v>26.026211588596983</v>
      </c>
      <c r="B26">
        <f>B6/Tabla5[[#This Row],[LEVEL OF OCCUPANCY]]</f>
        <v>0.23929653071920684</v>
      </c>
      <c r="C26">
        <f>C6/Tabla5[[#This Row],[LEVEL OF OCCUPANCY]]</f>
        <v>5.9669814194815124E-2</v>
      </c>
    </row>
    <row r="27" spans="1:3" x14ac:dyDescent="0.3">
      <c r="A27" s="37">
        <f>A19</f>
        <v>43.776087892020122</v>
      </c>
      <c r="B27">
        <f>B6/Tabla5[[#This Row],[LEVEL OF OCCUPANCY]]</f>
        <v>0.1422690432337734</v>
      </c>
      <c r="C27">
        <f>C6/Tabla5[[#This Row],[LEVEL OF OCCUPANCY]]</f>
        <v>3.5475513790020882E-2</v>
      </c>
    </row>
    <row r="28" spans="1:3" x14ac:dyDescent="0.3">
      <c r="A28" s="37" t="s">
        <v>183</v>
      </c>
    </row>
    <row r="29" spans="1:3" x14ac:dyDescent="0.3">
      <c r="A29" s="37">
        <f>A17</f>
        <v>8.2763352851738414</v>
      </c>
      <c r="B29">
        <f>B8/Tabla5[[#This Row],[LEVEL OF OCCUPANCY]]</f>
        <v>0</v>
      </c>
      <c r="C29">
        <f>C8/Tabla5[[#This Row],[LEVEL OF OCCUPANCY]]</f>
        <v>0</v>
      </c>
    </row>
    <row r="30" spans="1:3" x14ac:dyDescent="0.3">
      <c r="A30" s="37">
        <f>A18</f>
        <v>26.026211588596983</v>
      </c>
      <c r="B30">
        <f>B8/Tabla5[[#This Row],[LEVEL OF OCCUPANCY]]</f>
        <v>0</v>
      </c>
      <c r="C30">
        <f>C8/Tabla5[[#This Row],[LEVEL OF OCCUPANCY]]</f>
        <v>0</v>
      </c>
    </row>
    <row r="31" spans="1:3" x14ac:dyDescent="0.3">
      <c r="A31" s="37">
        <f>A19</f>
        <v>43.776087892020122</v>
      </c>
      <c r="B31">
        <f>B8/Tabla5[[#This Row],[LEVEL OF OCCUPANCY]]</f>
        <v>0</v>
      </c>
      <c r="C31">
        <f>C8/Tabla5[[#This Row],[LEVEL OF OCCUPANCY]]</f>
        <v>0</v>
      </c>
    </row>
    <row r="32" spans="1:3" x14ac:dyDescent="0.3">
      <c r="A32" s="37" t="s">
        <v>191</v>
      </c>
    </row>
    <row r="33" spans="1:3" x14ac:dyDescent="0.3">
      <c r="A33" s="37">
        <f>A17</f>
        <v>8.2763352851738414</v>
      </c>
      <c r="B33">
        <f>B7/Tabla5[[#This Row],[LEVEL OF OCCUPANCY]]</f>
        <v>0</v>
      </c>
      <c r="C33">
        <f>C7/Tabla5[[#This Row],[LEVEL OF OCCUPANCY]]</f>
        <v>0</v>
      </c>
    </row>
    <row r="34" spans="1:3" x14ac:dyDescent="0.3">
      <c r="A34" s="37">
        <f>A18</f>
        <v>26.026211588596983</v>
      </c>
      <c r="B34">
        <f>B7/Tabla5[[#This Row],[LEVEL OF OCCUPANCY]]</f>
        <v>0</v>
      </c>
      <c r="C34">
        <f>C7/Tabla5[[#This Row],[LEVEL OF OCCUPANCY]]</f>
        <v>0</v>
      </c>
    </row>
    <row r="35" spans="1:3" x14ac:dyDescent="0.3">
      <c r="A35" s="37">
        <f>A19</f>
        <v>43.776087892020122</v>
      </c>
      <c r="B35">
        <f>B7/Tabla5[[#This Row],[LEVEL OF OCCUPANCY]]</f>
        <v>0</v>
      </c>
      <c r="C35">
        <f>C7/Tabla5[[#This Row],[LEVEL OF OCCUPANCY]]</f>
        <v>0</v>
      </c>
    </row>
    <row r="36" spans="1:3" x14ac:dyDescent="0.3">
      <c r="A36" t="s">
        <v>185</v>
      </c>
    </row>
    <row r="37" spans="1:3" x14ac:dyDescent="0.3">
      <c r="A37" s="37">
        <f>'Passenger transport data'!H7</f>
        <v>26.108820882088207</v>
      </c>
      <c r="B37">
        <f>B9/Tabla5[[#This Row],[LEVEL OF OCCUPANCY]]</f>
        <v>1.0877897059157033</v>
      </c>
      <c r="C37">
        <f>C9/Tabla5[[#This Row],[LEVEL OF OCCUPANCY]]</f>
        <v>0.56782622648799719</v>
      </c>
    </row>
    <row r="38" spans="1:3" x14ac:dyDescent="0.3">
      <c r="A38" s="37">
        <f>'Passenger transport data'!I7</f>
        <v>82.103210321032094</v>
      </c>
      <c r="B38">
        <f>B9/Tabla5[[#This Row],[LEVEL OF OCCUPANCY]]</f>
        <v>0.34591712648119366</v>
      </c>
      <c r="C38">
        <f>C9/Tabla5[[#This Row],[LEVEL OF OCCUPANCY]]</f>
        <v>0.1805687400231831</v>
      </c>
    </row>
    <row r="39" spans="1:3" x14ac:dyDescent="0.3">
      <c r="A39" s="37">
        <f>'Passenger transport data'!J7</f>
        <v>138.09759975997596</v>
      </c>
      <c r="B39">
        <f>B9/Tabla5[[#This Row],[LEVEL OF OCCUPANCY]]</f>
        <v>0.20565822026230304</v>
      </c>
      <c r="C39">
        <f>C9/Tabla5[[#This Row],[LEVEL OF OCCUPANCY]]</f>
        <v>0.10735359097692218</v>
      </c>
    </row>
    <row r="40" spans="1:3" x14ac:dyDescent="0.3">
      <c r="A40" t="s">
        <v>146</v>
      </c>
    </row>
    <row r="41" spans="1:3" x14ac:dyDescent="0.3">
      <c r="A41" s="37">
        <f>A37</f>
        <v>26.108820882088207</v>
      </c>
      <c r="B41">
        <f>B10/Tabla5[[#This Row],[LEVEL OF OCCUPANCY]]</f>
        <v>2.5269212324859867</v>
      </c>
      <c r="C41">
        <f>C10/Tabla5[[#This Row],[LEVEL OF OCCUPANCY]]</f>
        <v>0.67355596050787259</v>
      </c>
    </row>
    <row r="42" spans="1:3" x14ac:dyDescent="0.3">
      <c r="A42" s="37">
        <f>A38</f>
        <v>82.103210321032094</v>
      </c>
      <c r="B42">
        <f>B10/Tabla5[[#This Row],[LEVEL OF OCCUPANCY]]</f>
        <v>0.80356095193054378</v>
      </c>
      <c r="C42">
        <f>C10/Tabla5[[#This Row],[LEVEL OF OCCUPANCY]]</f>
        <v>0.21419079544150349</v>
      </c>
    </row>
    <row r="43" spans="1:3" x14ac:dyDescent="0.3">
      <c r="A43" s="37">
        <f>A39</f>
        <v>138.09759975997596</v>
      </c>
      <c r="B43">
        <f>B10/Tabla5[[#This Row],[LEVEL OF OCCUPANCY]]</f>
        <v>0.47774135073159568</v>
      </c>
      <c r="C43">
        <f>C10/Tabla5[[#This Row],[LEVEL OF OCCUPANCY]]</f>
        <v>0.12734292237901518</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26.510495049504954</v>
      </c>
      <c r="B49">
        <f>B12/Tabla5[[#This Row],[LEVEL OF OCCUPANCY]]</f>
        <v>0.20404478360515668</v>
      </c>
      <c r="C49">
        <f>C12/Tabla5[[#This Row],[LEVEL OF OCCUPANCY]]</f>
        <v>0.10651137704189179</v>
      </c>
    </row>
    <row r="50" spans="1:3" x14ac:dyDescent="0.3">
      <c r="A50" s="37">
        <f>'Passenger transport data'!I6</f>
        <v>83.366336633663366</v>
      </c>
      <c r="B50">
        <f>B12/Tabla5[[#This Row],[LEVEL OF OCCUPANCY]]</f>
        <v>6.4886241186439833E-2</v>
      </c>
      <c r="C50">
        <f>C12/Tabla5[[#This Row],[LEVEL OF OCCUPANCY]]</f>
        <v>3.3870617899321595E-2</v>
      </c>
    </row>
    <row r="51" spans="1:3" x14ac:dyDescent="0.3">
      <c r="A51" s="37">
        <f>'Passenger transport data'!J6</f>
        <v>140.22217821782178</v>
      </c>
      <c r="B51">
        <f>B12/Tabla5[[#This Row],[LEVEL OF OCCUPANCY]]</f>
        <v>3.857683780406649E-2</v>
      </c>
      <c r="C51">
        <f>C12/Tabla5[[#This Row],[LEVEL OF OCCUPANCY]]</f>
        <v>2.0137109333722706E-2</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0</v>
      </c>
      <c r="E2">
        <f>(Tabla1[[#This Row],[% fuel used for buses]]*C10+C3*((C11+C10)/2)+C4*((C12+C13+C14)/3)+C5*C15+C6*C16)/100</f>
        <v>0.24935511607910577</v>
      </c>
      <c r="F2" t="s">
        <v>47</v>
      </c>
    </row>
    <row r="3" spans="2:6" x14ac:dyDescent="0.3">
      <c r="B3" t="s">
        <v>161</v>
      </c>
      <c r="C3">
        <v>0</v>
      </c>
    </row>
    <row r="4" spans="2:6" x14ac:dyDescent="0.3">
      <c r="B4" t="s">
        <v>162</v>
      </c>
      <c r="C4">
        <v>0</v>
      </c>
      <c r="E4" t="s">
        <v>163</v>
      </c>
    </row>
    <row r="5" spans="2:6" x14ac:dyDescent="0.3">
      <c r="B5" t="s">
        <v>164</v>
      </c>
      <c r="C5">
        <v>0</v>
      </c>
      <c r="E5">
        <f>(C12+C13+C14)/3</f>
        <v>0.22800000000000001</v>
      </c>
      <c r="F5" t="s">
        <v>47</v>
      </c>
    </row>
    <row r="6" spans="2:6" x14ac:dyDescent="0.3">
      <c r="B6" t="s">
        <v>165</v>
      </c>
      <c r="C6">
        <v>100</v>
      </c>
    </row>
    <row r="9" spans="2:6" x14ac:dyDescent="0.3">
      <c r="B9" t="s">
        <v>166</v>
      </c>
      <c r="C9" t="s">
        <v>167</v>
      </c>
    </row>
    <row r="10" spans="2:6" x14ac:dyDescent="0.3">
      <c r="B10" t="s">
        <v>168</v>
      </c>
      <c r="C10">
        <f>'Passenger transport data'!D17</f>
        <v>0.52200000000000002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2.9*1000/11630</f>
        <v>0.24935511607910577</v>
      </c>
    </row>
    <row r="16" spans="2:6" x14ac:dyDescent="0.3">
      <c r="B16" t="s">
        <v>165</v>
      </c>
      <c r="C16">
        <f>2.9*1000/11630</f>
        <v>0.24935511607910577</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249.35511607910576</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249.41912084399871</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249.35511607910576</v>
      </c>
      <c r="D8" s="22" t="s">
        <v>108</v>
      </c>
      <c r="E8" s="22" t="s">
        <v>147</v>
      </c>
      <c r="F8" s="22">
        <f>BUS!C16*1000</f>
        <v>249.35511607910576</v>
      </c>
      <c r="G8" s="22" t="s">
        <v>108</v>
      </c>
      <c r="H8" s="21" t="s">
        <v>131</v>
      </c>
      <c r="I8" s="22">
        <f>BUS!C10*1000</f>
        <v>522</v>
      </c>
      <c r="J8" s="22" t="s">
        <v>108</v>
      </c>
      <c r="K8" s="43">
        <f>BUS!E2*1000</f>
        <v>249.35511607910576</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6.2279821409152749</v>
      </c>
      <c r="G11" s="82"/>
      <c r="H11" s="30">
        <f>F11/A11</f>
        <v>6.2279821409152749</v>
      </c>
      <c r="I11" s="1">
        <v>0</v>
      </c>
      <c r="J11" s="1">
        <f>I$8*F11</f>
        <v>3251.0066775577734</v>
      </c>
      <c r="K11" s="30">
        <f>J11/A11</f>
        <v>3251.0066775577734</v>
      </c>
    </row>
    <row r="12" spans="1:13" x14ac:dyDescent="0.3">
      <c r="A12" s="18">
        <f>'Passenger transport data'!H5</f>
        <v>8.2763352851738414</v>
      </c>
      <c r="B12" s="1">
        <f>C$7*A12</f>
        <v>662.10682281390734</v>
      </c>
      <c r="C12" s="82">
        <f>I$4*B12/100</f>
        <v>5.6279079939182131E-2</v>
      </c>
      <c r="D12" s="82"/>
      <c r="E12" s="82"/>
      <c r="F12" s="82">
        <f>F$11+C12</f>
        <v>6.2842612208544573</v>
      </c>
      <c r="G12" s="82"/>
      <c r="H12" s="27">
        <f t="shared" ref="H12:H14" si="0">F12/A12</f>
        <v>0.75930481358241142</v>
      </c>
      <c r="I12" s="1">
        <f>I$6*B12</f>
        <v>18.538991038789405</v>
      </c>
      <c r="J12" s="1">
        <f>F12*(I12+J$11)</f>
        <v>20546.67905497404</v>
      </c>
      <c r="K12" s="27">
        <f>J12/A12</f>
        <v>2482.581764392894</v>
      </c>
    </row>
    <row r="13" spans="1:13" x14ac:dyDescent="0.3">
      <c r="A13" s="18">
        <f>'Passenger transport data'!I5</f>
        <v>26.026211588596983</v>
      </c>
      <c r="B13" s="1">
        <f t="shared" ref="B13:B14" si="1">C$7*A13</f>
        <v>2082.0969270877586</v>
      </c>
      <c r="C13" s="82">
        <f t="shared" ref="C13:C14" si="2">I$4*B13/100</f>
        <v>0.1769782388024595</v>
      </c>
      <c r="D13" s="82"/>
      <c r="E13" s="82"/>
      <c r="F13" s="82">
        <f t="shared" ref="F13:F14" si="3">F$11+C13</f>
        <v>6.4049603797177346</v>
      </c>
      <c r="G13" s="82"/>
      <c r="H13" s="27">
        <f t="shared" si="0"/>
        <v>0.24609653071920684</v>
      </c>
      <c r="I13" s="1">
        <f t="shared" ref="I13:I14" si="4">I$6*B13</f>
        <v>58.298713958457235</v>
      </c>
      <c r="J13" s="1">
        <f>F13*(I13+J$11)</f>
        <v>21195.96991704774</v>
      </c>
      <c r="K13" s="27">
        <f>J13/A13</f>
        <v>814.40857594251077</v>
      </c>
    </row>
    <row r="14" spans="1:13" x14ac:dyDescent="0.3">
      <c r="A14" s="18">
        <f>'Passenger transport data'!J5</f>
        <v>43.776087892020122</v>
      </c>
      <c r="B14" s="1">
        <f t="shared" si="1"/>
        <v>3502.0870313616097</v>
      </c>
      <c r="C14" s="82">
        <f t="shared" si="2"/>
        <v>0.29767739766573681</v>
      </c>
      <c r="D14" s="82"/>
      <c r="E14" s="82"/>
      <c r="F14" s="82">
        <f t="shared" si="3"/>
        <v>6.5256595385810119</v>
      </c>
      <c r="G14" s="82"/>
      <c r="H14" s="27">
        <f t="shared" si="0"/>
        <v>0.1490690432337734</v>
      </c>
      <c r="I14" s="1">
        <f t="shared" si="4"/>
        <v>98.058436878125065</v>
      </c>
      <c r="J14" s="1">
        <f>F14*(I14+J$11)</f>
        <v>21854.858709347529</v>
      </c>
      <c r="K14" s="27">
        <f>J14/A14</f>
        <v>499.24193233656723</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6.2279821409152749</v>
      </c>
      <c r="G16" s="82"/>
      <c r="H16" s="30">
        <f>F16/A16</f>
        <v>6.2279821409152749</v>
      </c>
      <c r="I16" s="1">
        <v>0</v>
      </c>
      <c r="J16" s="1">
        <f>F16*(0.5*C$8+0.5*I$8)</f>
        <v>2401.9929436221496</v>
      </c>
      <c r="K16" s="30">
        <f>J16/A16</f>
        <v>2401.9929436221496</v>
      </c>
    </row>
    <row r="17" spans="1:11" x14ac:dyDescent="0.3">
      <c r="A17" s="18">
        <f>'Passenger transport data'!H5</f>
        <v>8.2763352851738414</v>
      </c>
      <c r="B17" s="1">
        <f>C$7*A17</f>
        <v>662.10682281390734</v>
      </c>
      <c r="C17" s="76">
        <f>B17*(0.5*I$4+0.5*C$5)/100</f>
        <v>0.16056090453237254</v>
      </c>
      <c r="D17" s="77"/>
      <c r="E17" s="78"/>
      <c r="F17" s="76">
        <f>F$16+C17</f>
        <v>6.3885430454476477</v>
      </c>
      <c r="G17" s="78"/>
      <c r="H17" s="27">
        <f>F17/A17</f>
        <v>0.77190481358241136</v>
      </c>
      <c r="I17" s="1">
        <f>B17*(0.5*C$6+0.5*I$6)/100</f>
        <v>0.42374836660090071</v>
      </c>
      <c r="J17" s="1">
        <f>F17*(I17+J$16)</f>
        <v>15347.942449872076</v>
      </c>
      <c r="K17" s="27">
        <f>J17/A17</f>
        <v>1854.43700877685</v>
      </c>
    </row>
    <row r="18" spans="1:11" x14ac:dyDescent="0.3">
      <c r="A18" s="18">
        <f>'Passenger transport data'!I5</f>
        <v>26.026211588596983</v>
      </c>
      <c r="B18" s="1">
        <f t="shared" ref="B18:B19" si="5">C$7*A18</f>
        <v>2082.0969270877586</v>
      </c>
      <c r="C18" s="76">
        <f t="shared" ref="C18:C19" si="6">B18*(0.5*I$4+0.5*C$5)/100</f>
        <v>0.50490850481878147</v>
      </c>
      <c r="D18" s="77"/>
      <c r="E18" s="78"/>
      <c r="F18" s="76">
        <f t="shared" ref="F18:F19" si="7">F$16+C18</f>
        <v>6.7328906457340567</v>
      </c>
      <c r="G18" s="78"/>
      <c r="H18" s="27">
        <f t="shared" ref="H18:H19" si="8">F18/A18</f>
        <v>0.25869653071920684</v>
      </c>
      <c r="I18" s="1">
        <f t="shared" ref="I18:I19" si="9">B18*(0.5*C$6+0.5*I$6)/100</f>
        <v>1.3325420333361655</v>
      </c>
      <c r="J18" s="1">
        <f t="shared" ref="J18:J19" si="10">F18*(I18+J$16)</f>
        <v>16181.32768102408</v>
      </c>
      <c r="K18" s="27">
        <f t="shared" ref="K18:K19" si="11">J18/A18</f>
        <v>621.7319653281271</v>
      </c>
    </row>
    <row r="19" spans="1:11" x14ac:dyDescent="0.3">
      <c r="A19" s="18">
        <f>'Passenger transport data'!J5</f>
        <v>43.776087892020122</v>
      </c>
      <c r="B19" s="1">
        <f t="shared" si="5"/>
        <v>3502.0870313616097</v>
      </c>
      <c r="C19" s="76">
        <f t="shared" si="6"/>
        <v>0.84925610510519034</v>
      </c>
      <c r="D19" s="77"/>
      <c r="E19" s="78"/>
      <c r="F19" s="76">
        <f t="shared" si="7"/>
        <v>7.0772382460204657</v>
      </c>
      <c r="G19" s="78"/>
      <c r="H19" s="27">
        <f t="shared" si="8"/>
        <v>0.1616690432337734</v>
      </c>
      <c r="I19" s="1">
        <f t="shared" si="9"/>
        <v>2.24133570007143</v>
      </c>
      <c r="J19" s="1">
        <f t="shared" si="10"/>
        <v>17015.338794012674</v>
      </c>
      <c r="K19" s="27">
        <f t="shared" si="11"/>
        <v>388.69025564786421</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6.2279821409152749</v>
      </c>
      <c r="G21" s="82"/>
      <c r="H21" s="30">
        <f>F21/A21</f>
        <v>6.2279821409152749</v>
      </c>
      <c r="I21" s="1">
        <v>0</v>
      </c>
      <c r="J21" s="1">
        <f>F21*K$6</f>
        <v>1419.9799281286828</v>
      </c>
      <c r="K21" s="30">
        <f>J21/A21</f>
        <v>1419.9799281286828</v>
      </c>
    </row>
    <row r="22" spans="1:11" x14ac:dyDescent="0.3">
      <c r="A22" s="18">
        <f>'Passenger transport data'!H5</f>
        <v>8.2763352851738414</v>
      </c>
      <c r="B22" s="1">
        <f>C$7*A22</f>
        <v>662.10682281390734</v>
      </c>
      <c r="C22" s="76">
        <f>B22*C$5/100</f>
        <v>0.26484272912556295</v>
      </c>
      <c r="D22" s="77"/>
      <c r="E22" s="78"/>
      <c r="F22" s="79">
        <f>F$21+C22</f>
        <v>6.4928248700408382</v>
      </c>
      <c r="G22" s="80"/>
      <c r="H22" s="27">
        <f t="shared" ref="H22:H24" si="12">F22/A22</f>
        <v>0.78450481358241142</v>
      </c>
      <c r="I22" s="1">
        <f>C$6*B22</f>
        <v>66.210682281390731</v>
      </c>
      <c r="J22" s="1">
        <f>F22*(I22+J$21)</f>
        <v>9649.5753568916989</v>
      </c>
      <c r="K22" s="27">
        <f t="shared" ref="K22:K24" si="13">J22/A22</f>
        <v>1165.9236877676849</v>
      </c>
    </row>
    <row r="23" spans="1:11" x14ac:dyDescent="0.3">
      <c r="A23" s="18">
        <f>'Passenger transport data'!I5</f>
        <v>26.026211588596983</v>
      </c>
      <c r="B23" s="1">
        <f t="shared" ref="B23:B24" si="14">C$7*A23</f>
        <v>2082.0969270877586</v>
      </c>
      <c r="C23" s="76">
        <f t="shared" ref="C23:C24" si="15">B23*C$5/100</f>
        <v>0.83283877083510349</v>
      </c>
      <c r="D23" s="77"/>
      <c r="E23" s="78"/>
      <c r="F23" s="76">
        <f>F$21+C23</f>
        <v>7.060820911750378</v>
      </c>
      <c r="G23" s="78"/>
      <c r="H23" s="27">
        <f t="shared" si="12"/>
        <v>0.27129653071920684</v>
      </c>
      <c r="I23" s="1">
        <f t="shared" ref="I23:I24" si="16">C$6*B23</f>
        <v>208.20969270877586</v>
      </c>
      <c r="J23" s="1">
        <f t="shared" ref="J23:J24" si="17">F23*(I23+J$21)</f>
        <v>11496.355323104048</v>
      </c>
      <c r="K23" s="27">
        <f t="shared" si="13"/>
        <v>441.72219548622337</v>
      </c>
    </row>
    <row r="24" spans="1:11" x14ac:dyDescent="0.3">
      <c r="A24" s="18">
        <f>'Passenger transport data'!J5</f>
        <v>43.776087892020122</v>
      </c>
      <c r="B24" s="1">
        <f t="shared" si="14"/>
        <v>3502.0870313616097</v>
      </c>
      <c r="C24" s="76">
        <f t="shared" si="15"/>
        <v>1.4008348125446439</v>
      </c>
      <c r="D24" s="77"/>
      <c r="E24" s="78"/>
      <c r="F24" s="76">
        <f t="shared" ref="F24" si="18">F$21+C24</f>
        <v>7.6288169534599186</v>
      </c>
      <c r="G24" s="78"/>
      <c r="H24" s="27">
        <f t="shared" si="12"/>
        <v>0.1742690432337734</v>
      </c>
      <c r="I24" s="1">
        <f t="shared" si="16"/>
        <v>350.20870313616098</v>
      </c>
      <c r="J24" s="1">
        <f t="shared" si="17"/>
        <v>13504.445041015248</v>
      </c>
      <c r="K24" s="27">
        <f t="shared" si="13"/>
        <v>308.48907911382719</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6.2279821409152749</v>
      </c>
      <c r="G26" s="82"/>
      <c r="H26" s="30">
        <f>F26/A26</f>
        <v>6.2279821409152749</v>
      </c>
      <c r="I26" s="1">
        <v>0</v>
      </c>
      <c r="J26" s="1">
        <f>C$8*F26</f>
        <v>1552.979209686526</v>
      </c>
      <c r="K26" s="30">
        <f>J26/A26</f>
        <v>1552.979209686526</v>
      </c>
    </row>
    <row r="27" spans="1:11" x14ac:dyDescent="0.3">
      <c r="A27" s="18">
        <f>'Passenger transport data'!H5</f>
        <v>8.2763352851738414</v>
      </c>
      <c r="B27" s="1">
        <f>C$7*A27</f>
        <v>662.10682281390734</v>
      </c>
      <c r="C27" s="76">
        <f>B27*C$5/100</f>
        <v>0.26484272912556295</v>
      </c>
      <c r="D27" s="77"/>
      <c r="E27" s="78"/>
      <c r="F27" s="79">
        <f>F$26+C27</f>
        <v>6.4928248700408382</v>
      </c>
      <c r="G27" s="80"/>
      <c r="H27" s="27">
        <f>F27/A27</f>
        <v>0.78450481358241142</v>
      </c>
      <c r="I27" s="1">
        <f>C$6*B27</f>
        <v>66.210682281390731</v>
      </c>
      <c r="J27" s="1">
        <f>F27*(I27+J$26)</f>
        <v>10513.116399888027</v>
      </c>
      <c r="K27" s="27">
        <f>J27/A27</f>
        <v>1270.2622643528152</v>
      </c>
    </row>
    <row r="28" spans="1:11" x14ac:dyDescent="0.3">
      <c r="A28" s="18">
        <f>'Passenger transport data'!I5</f>
        <v>26.026211588596983</v>
      </c>
      <c r="B28" s="1">
        <f t="shared" ref="B28:B29" si="19">C$7*A28</f>
        <v>2082.0969270877586</v>
      </c>
      <c r="C28" s="76">
        <f t="shared" ref="C28:C29" si="20">B28*C$5/100</f>
        <v>0.83283877083510349</v>
      </c>
      <c r="D28" s="77"/>
      <c r="E28" s="78"/>
      <c r="F28" s="79">
        <f t="shared" ref="F28:F29" si="21">F$26+C28</f>
        <v>7.060820911750378</v>
      </c>
      <c r="G28" s="80"/>
      <c r="H28" s="27">
        <f t="shared" ref="H28:H29" si="22">F28/A28</f>
        <v>0.27129653071920684</v>
      </c>
      <c r="I28" s="1">
        <f t="shared" ref="I28:I29" si="23">C$6*B28</f>
        <v>208.20969270877586</v>
      </c>
      <c r="J28" s="1">
        <f t="shared" ref="J28:J29" si="24">F28*(I28+J$26)</f>
        <v>12435.439431575443</v>
      </c>
      <c r="K28" s="27">
        <f t="shared" ref="K28:K29" si="25">J28/A28</f>
        <v>477.80443916101319</v>
      </c>
    </row>
    <row r="29" spans="1:11" x14ac:dyDescent="0.3">
      <c r="A29" s="18">
        <f>'Passenger transport data'!J5</f>
        <v>43.776087892020122</v>
      </c>
      <c r="B29" s="1">
        <f t="shared" si="19"/>
        <v>3502.0870313616097</v>
      </c>
      <c r="C29" s="76">
        <f t="shared" si="20"/>
        <v>1.4008348125446439</v>
      </c>
      <c r="D29" s="77"/>
      <c r="E29" s="78"/>
      <c r="F29" s="79">
        <f t="shared" si="21"/>
        <v>7.6288169534599186</v>
      </c>
      <c r="G29" s="80"/>
      <c r="H29" s="27">
        <f t="shared" si="22"/>
        <v>0.1742690432337734</v>
      </c>
      <c r="I29" s="1">
        <f t="shared" si="23"/>
        <v>350.20870313616098</v>
      </c>
      <c r="J29" s="1">
        <f t="shared" si="24"/>
        <v>14519.072214961712</v>
      </c>
      <c r="K29" s="27">
        <f t="shared" si="25"/>
        <v>331.6667366616918</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6.2279821409152749</v>
      </c>
      <c r="G31" s="82"/>
      <c r="H31" s="30">
        <f>F31/A31</f>
        <v>6.2279821409152749</v>
      </c>
      <c r="I31" s="1">
        <v>0</v>
      </c>
      <c r="J31" s="1">
        <f>K$8*F31</f>
        <v>1552.979209686526</v>
      </c>
      <c r="K31" s="30">
        <f>J31/A31</f>
        <v>1552.979209686526</v>
      </c>
    </row>
    <row r="32" spans="1:11" x14ac:dyDescent="0.3">
      <c r="A32" s="18">
        <f>'Passenger transport data'!H5</f>
        <v>8.2763352851738414</v>
      </c>
      <c r="B32" s="1">
        <f>C$7*A32</f>
        <v>662.10682281390734</v>
      </c>
      <c r="C32" s="76">
        <f>B32*C$5/100</f>
        <v>0.26484272912556295</v>
      </c>
      <c r="D32" s="77"/>
      <c r="E32" s="78"/>
      <c r="F32" s="79">
        <f>F$31+C32</f>
        <v>6.4928248700408382</v>
      </c>
      <c r="G32" s="80"/>
      <c r="H32" s="27">
        <f>F32/A32</f>
        <v>0.78450481358241142</v>
      </c>
      <c r="I32" s="1">
        <f>C$6*B32</f>
        <v>66.210682281390731</v>
      </c>
      <c r="J32" s="1">
        <f>F32*(I32+J$31)</f>
        <v>10513.116399888027</v>
      </c>
      <c r="K32" s="27">
        <f t="shared" ref="K32:K34" si="26">J32/A32</f>
        <v>1270.2622643528152</v>
      </c>
    </row>
    <row r="33" spans="1:11" x14ac:dyDescent="0.3">
      <c r="A33" s="18">
        <f>'Passenger transport data'!I5</f>
        <v>26.026211588596983</v>
      </c>
      <c r="B33" s="1">
        <f t="shared" ref="B33:B34" si="27">C$7*A33</f>
        <v>2082.0969270877586</v>
      </c>
      <c r="C33" s="76">
        <f t="shared" ref="C33:C34" si="28">B33*C$5/100</f>
        <v>0.83283877083510349</v>
      </c>
      <c r="D33" s="77"/>
      <c r="E33" s="78"/>
      <c r="F33" s="79">
        <f t="shared" ref="F33:F34" si="29">F$31+C33</f>
        <v>7.060820911750378</v>
      </c>
      <c r="G33" s="80"/>
      <c r="H33" s="27">
        <f t="shared" ref="H33:H34" si="30">F33/A33</f>
        <v>0.27129653071920684</v>
      </c>
      <c r="I33" s="1">
        <f t="shared" ref="I33:I34" si="31">C$6*B33</f>
        <v>208.20969270877586</v>
      </c>
      <c r="J33" s="1">
        <f t="shared" ref="J33:J34" si="32">F33*(I33+J$31)</f>
        <v>12435.439431575443</v>
      </c>
      <c r="K33" s="27">
        <f t="shared" si="26"/>
        <v>477.80443916101319</v>
      </c>
    </row>
    <row r="34" spans="1:11" x14ac:dyDescent="0.3">
      <c r="A34" s="18">
        <f>'Passenger transport data'!J5</f>
        <v>43.776087892020122</v>
      </c>
      <c r="B34" s="1">
        <f t="shared" si="27"/>
        <v>3502.0870313616097</v>
      </c>
      <c r="C34" s="76">
        <f t="shared" si="28"/>
        <v>1.4008348125446439</v>
      </c>
      <c r="D34" s="77"/>
      <c r="E34" s="78"/>
      <c r="F34" s="79">
        <f t="shared" si="29"/>
        <v>7.6288169534599186</v>
      </c>
      <c r="G34" s="80"/>
      <c r="H34" s="27">
        <f t="shared" si="30"/>
        <v>0.1742690432337734</v>
      </c>
      <c r="I34" s="1">
        <f t="shared" si="31"/>
        <v>350.20870313616098</v>
      </c>
      <c r="J34" s="1">
        <f t="shared" si="32"/>
        <v>14519.072214961712</v>
      </c>
      <c r="K34" s="27">
        <f t="shared" si="26"/>
        <v>331.6667366616918</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249.41912084399871</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0.67007018397024665</v>
      </c>
      <c r="G11" s="98"/>
      <c r="H11" s="27">
        <f>F11/A11</f>
        <v>0.67007018397024665</v>
      </c>
      <c r="I11" s="1">
        <v>0</v>
      </c>
      <c r="J11" s="1">
        <f>C$8*F11</f>
        <v>167.1283161896354</v>
      </c>
      <c r="K11" s="27">
        <f>J11/A11</f>
        <v>167.1283161896354</v>
      </c>
    </row>
    <row r="12" spans="1:11" x14ac:dyDescent="0.3">
      <c r="A12" s="1">
        <v>2</v>
      </c>
      <c r="B12" s="1">
        <f>B11+C$7</f>
        <v>80</v>
      </c>
      <c r="C12" s="82">
        <f>C$5*B12/100</f>
        <v>3.2000000000000001E-2</v>
      </c>
      <c r="D12" s="82"/>
      <c r="E12" s="82"/>
      <c r="F12" s="82">
        <f>F$11+C12</f>
        <v>0.70207018397024668</v>
      </c>
      <c r="G12" s="82"/>
      <c r="H12" s="27">
        <f t="shared" ref="H12:H15" si="0">F12/A12</f>
        <v>0.35103509198512334</v>
      </c>
      <c r="I12" s="1">
        <f>C$6*B12</f>
        <v>8</v>
      </c>
      <c r="J12" s="1">
        <f>F12*(I12+J$11)</f>
        <v>122.95236916565685</v>
      </c>
      <c r="K12" s="27">
        <f t="shared" ref="K12:K15" si="1">J12/A12</f>
        <v>61.476184582828424</v>
      </c>
    </row>
    <row r="13" spans="1:11" x14ac:dyDescent="0.3">
      <c r="A13" s="1">
        <v>3</v>
      </c>
      <c r="B13" s="1">
        <f t="shared" ref="B13:B15" si="2">B12+C$7</f>
        <v>160</v>
      </c>
      <c r="C13" s="82">
        <f>C$5*B13/100</f>
        <v>6.4000000000000001E-2</v>
      </c>
      <c r="D13" s="82"/>
      <c r="E13" s="82"/>
      <c r="F13" s="82">
        <f t="shared" ref="F13:F15" si="3">F$11+C13</f>
        <v>0.73407018397024659</v>
      </c>
      <c r="G13" s="82"/>
      <c r="H13" s="27">
        <f t="shared" si="0"/>
        <v>0.24469006132341553</v>
      </c>
      <c r="I13" s="1">
        <f t="shared" ref="I13:I15" si="4">C$6*B13</f>
        <v>16</v>
      </c>
      <c r="J13" s="1">
        <f t="shared" ref="J13:J15" si="5">F13*(I13+J$11)</f>
        <v>134.42903675548715</v>
      </c>
      <c r="K13" s="27">
        <f t="shared" si="1"/>
        <v>44.809678918495713</v>
      </c>
    </row>
    <row r="14" spans="1:11" x14ac:dyDescent="0.3">
      <c r="A14" s="1">
        <v>4</v>
      </c>
      <c r="B14" s="1">
        <f t="shared" si="2"/>
        <v>240</v>
      </c>
      <c r="C14" s="82">
        <f>C$5*B14/100</f>
        <v>9.6000000000000002E-2</v>
      </c>
      <c r="D14" s="82"/>
      <c r="E14" s="82"/>
      <c r="F14" s="82">
        <f t="shared" si="3"/>
        <v>0.76607018397024662</v>
      </c>
      <c r="G14" s="82"/>
      <c r="H14" s="27">
        <f t="shared" si="0"/>
        <v>0.19151754599256166</v>
      </c>
      <c r="I14" s="1">
        <f t="shared" si="4"/>
        <v>24</v>
      </c>
      <c r="J14" s="1">
        <f t="shared" si="5"/>
        <v>146.41770434531745</v>
      </c>
      <c r="K14" s="27">
        <f t="shared" si="1"/>
        <v>36.604426086329362</v>
      </c>
    </row>
    <row r="15" spans="1:11" x14ac:dyDescent="0.3">
      <c r="A15" s="1">
        <v>5</v>
      </c>
      <c r="B15" s="1">
        <f t="shared" si="2"/>
        <v>320</v>
      </c>
      <c r="C15" s="82">
        <f>C$5*B15/100</f>
        <v>0.128</v>
      </c>
      <c r="D15" s="82"/>
      <c r="E15" s="82"/>
      <c r="F15" s="82">
        <f t="shared" si="3"/>
        <v>0.79807018397024665</v>
      </c>
      <c r="G15" s="82"/>
      <c r="H15" s="27">
        <f t="shared" si="0"/>
        <v>0.15961403679404934</v>
      </c>
      <c r="I15" s="1">
        <f t="shared" si="4"/>
        <v>32</v>
      </c>
      <c r="J15" s="1">
        <f t="shared" si="5"/>
        <v>158.91837193514777</v>
      </c>
      <c r="K15" s="27">
        <f t="shared" si="1"/>
        <v>31.783674387029556</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0.45367100741830063</v>
      </c>
      <c r="G17" s="98"/>
      <c r="H17" s="27">
        <f>F17/A17</f>
        <v>0.45367100741830063</v>
      </c>
      <c r="I17" s="1">
        <v>0</v>
      </c>
      <c r="J17" s="1">
        <f>C$8*F17</f>
        <v>113.15422382268376</v>
      </c>
      <c r="K17" s="27">
        <f>J17/A17</f>
        <v>113.15422382268376</v>
      </c>
    </row>
    <row r="18" spans="1:11" x14ac:dyDescent="0.3">
      <c r="A18" s="1">
        <v>2</v>
      </c>
      <c r="B18" s="1">
        <f>C7+B17</f>
        <v>80</v>
      </c>
      <c r="C18" s="82">
        <f>C$5*B18/100</f>
        <v>3.2000000000000001E-2</v>
      </c>
      <c r="D18" s="82"/>
      <c r="E18" s="82"/>
      <c r="F18" s="82">
        <f>F17+C18</f>
        <v>0.4856710074183006</v>
      </c>
      <c r="G18" s="82"/>
      <c r="H18" s="27">
        <f>F18/A18</f>
        <v>0.2428355037091503</v>
      </c>
      <c r="I18" s="1">
        <f>C6*B18</f>
        <v>8</v>
      </c>
      <c r="J18" s="1">
        <f>F18*(I18+J17)</f>
        <v>58.8410939369451</v>
      </c>
      <c r="K18" s="27">
        <f>J18/A18</f>
        <v>29.42054696847255</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6.2279821409152749</v>
      </c>
      <c r="G20" s="95"/>
      <c r="H20" s="30">
        <f>F20/A20</f>
        <v>6.2279821409152749</v>
      </c>
      <c r="I20" s="1">
        <v>0</v>
      </c>
      <c r="J20" s="1">
        <f>C$8*F20</f>
        <v>1553.3778302192127</v>
      </c>
      <c r="K20" s="1">
        <f>J20/A20</f>
        <v>1553.3778302192127</v>
      </c>
    </row>
    <row r="21" spans="1:11" x14ac:dyDescent="0.3">
      <c r="A21" s="18">
        <f>'Passenger transport data'!H5</f>
        <v>8.2763352851738414</v>
      </c>
      <c r="B21" s="1">
        <f>C$7*A21</f>
        <v>662.10682281390734</v>
      </c>
      <c r="C21" s="76">
        <f>B21*C$5/100</f>
        <v>0.26484272912556295</v>
      </c>
      <c r="D21" s="77"/>
      <c r="E21" s="78"/>
      <c r="F21" s="96">
        <f>F$20+C21</f>
        <v>6.4928248700408382</v>
      </c>
      <c r="G21" s="97"/>
      <c r="H21" s="27">
        <f t="shared" ref="H21:H23" si="6">F21/A21</f>
        <v>0.78450481358241142</v>
      </c>
      <c r="I21" s="1">
        <f>C$6*B21</f>
        <v>66.210682281390731</v>
      </c>
      <c r="J21" s="1">
        <f>F21*(I21+J$20)</f>
        <v>10515.704573196364</v>
      </c>
      <c r="K21" s="27">
        <f t="shared" ref="K21:K23" si="7">J21/A21</f>
        <v>1270.5749840795008</v>
      </c>
    </row>
    <row r="22" spans="1:11" x14ac:dyDescent="0.3">
      <c r="A22" s="18">
        <f>'Passenger transport data'!I5</f>
        <v>26.026211588596983</v>
      </c>
      <c r="B22" s="1">
        <f t="shared" ref="B22:B23" si="8">C$7*A22</f>
        <v>2082.0969270877586</v>
      </c>
      <c r="C22" s="76">
        <f t="shared" ref="C22:C23" si="9">B22*C$5/100</f>
        <v>0.83283877083510349</v>
      </c>
      <c r="D22" s="77"/>
      <c r="E22" s="78"/>
      <c r="F22" s="76">
        <f>F$20+C22</f>
        <v>7.060820911750378</v>
      </c>
      <c r="G22" s="78"/>
      <c r="H22" s="27">
        <f t="shared" si="6"/>
        <v>0.27129653071920684</v>
      </c>
      <c r="I22" s="1">
        <f t="shared" ref="I22:I23" si="10">C$6*B22</f>
        <v>208.20969270877586</v>
      </c>
      <c r="J22" s="1">
        <f t="shared" ref="J22:J23" si="11">F22*(I22+J$20)</f>
        <v>12438.25401976849</v>
      </c>
      <c r="K22" s="27">
        <f t="shared" si="7"/>
        <v>477.9125835286045</v>
      </c>
    </row>
    <row r="23" spans="1:11" x14ac:dyDescent="0.3">
      <c r="A23" s="18">
        <f>'Passenger transport data'!J5</f>
        <v>43.776087892020122</v>
      </c>
      <c r="B23" s="1">
        <f t="shared" si="8"/>
        <v>3502.0870313616097</v>
      </c>
      <c r="C23" s="76">
        <f t="shared" si="9"/>
        <v>1.4008348125446439</v>
      </c>
      <c r="D23" s="77"/>
      <c r="E23" s="78"/>
      <c r="F23" s="76">
        <f t="shared" ref="F23" si="12">F$20+C23</f>
        <v>7.6288169534599186</v>
      </c>
      <c r="G23" s="78"/>
      <c r="H23" s="27">
        <f t="shared" si="6"/>
        <v>0.1742690432337734</v>
      </c>
      <c r="I23" s="1">
        <f t="shared" si="10"/>
        <v>350.20870313616098</v>
      </c>
      <c r="J23" s="1">
        <f t="shared" si="11"/>
        <v>14522.113218039469</v>
      </c>
      <c r="K23" s="27">
        <f t="shared" si="7"/>
        <v>331.73620388053644</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26.108820882088207</v>
      </c>
      <c r="B26" s="1">
        <f>C$7*A26</f>
        <v>2088.7056705670566</v>
      </c>
      <c r="C26" s="76">
        <f>B26*C$5/100</f>
        <v>0.8354822682268227</v>
      </c>
      <c r="D26" s="77"/>
      <c r="E26" s="78"/>
      <c r="F26" s="79">
        <f>F$25+C26</f>
        <v>20.059872268226826</v>
      </c>
      <c r="G26" s="80"/>
      <c r="H26" s="27">
        <f t="shared" ref="H26:H28" si="13">F26/A26</f>
        <v>0.76831781714005998</v>
      </c>
      <c r="I26" s="1">
        <f>C$6*B26</f>
        <v>208.87056705670568</v>
      </c>
      <c r="J26" s="1">
        <f>F26*(I26+J$25)</f>
        <v>106982.72035982438</v>
      </c>
      <c r="K26" s="27">
        <f t="shared" ref="K26:K28" si="14">J26/A26</f>
        <v>4097.5699685166255</v>
      </c>
    </row>
    <row r="27" spans="1:11" x14ac:dyDescent="0.3">
      <c r="A27" s="37">
        <f>'Passenger transport data'!I7</f>
        <v>82.103210321032094</v>
      </c>
      <c r="B27" s="1">
        <f t="shared" ref="B27" si="15">C$7*A27</f>
        <v>6568.2568256825671</v>
      </c>
      <c r="C27" s="76">
        <f t="shared" ref="C27:C28" si="16">B27*C$5/100</f>
        <v>2.6273027302730272</v>
      </c>
      <c r="D27" s="77"/>
      <c r="E27" s="78"/>
      <c r="F27" s="79">
        <f t="shared" ref="F27:F28" si="17">F$25+C27</f>
        <v>21.851692730273029</v>
      </c>
      <c r="G27" s="80"/>
      <c r="H27" s="27">
        <f t="shared" si="13"/>
        <v>0.26614906585053905</v>
      </c>
      <c r="I27" s="1">
        <f t="shared" ref="I27" si="18">C$6*B27</f>
        <v>656.82568256825675</v>
      </c>
      <c r="J27" s="1">
        <f t="shared" ref="J27:J28" si="19">F27*(I27+J$25)</f>
        <v>126327.3820505715</v>
      </c>
      <c r="K27" s="27">
        <f t="shared" si="14"/>
        <v>1538.6411999801019</v>
      </c>
    </row>
    <row r="28" spans="1:11" x14ac:dyDescent="0.3">
      <c r="A28" s="37">
        <f>'Passenger transport data'!J7</f>
        <v>138.09759975997596</v>
      </c>
      <c r="B28" s="1">
        <f>C$7*A28</f>
        <v>11047.807980798078</v>
      </c>
      <c r="C28" s="76">
        <f t="shared" si="16"/>
        <v>4.4191231923192307</v>
      </c>
      <c r="D28" s="77"/>
      <c r="E28" s="78"/>
      <c r="F28" s="79">
        <f t="shared" si="17"/>
        <v>23.643513192319233</v>
      </c>
      <c r="G28" s="80"/>
      <c r="H28" s="27">
        <f t="shared" si="13"/>
        <v>0.17120871929282944</v>
      </c>
      <c r="I28" s="1">
        <f>C$6*B28</f>
        <v>1104.7807980798077</v>
      </c>
      <c r="J28" s="1">
        <f t="shared" si="19"/>
        <v>147277.35402542239</v>
      </c>
      <c r="K28" s="27">
        <f t="shared" si="14"/>
        <v>1066.4729458108</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249.41912084399871</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522</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0.34798927633856247</v>
      </c>
      <c r="G11" s="98"/>
      <c r="H11" s="27">
        <f>F11/A11</f>
        <v>0.34798927633856247</v>
      </c>
      <c r="I11" s="1">
        <v>0</v>
      </c>
      <c r="J11" s="1">
        <f>C$8*F11</f>
        <v>181.65040224872962</v>
      </c>
      <c r="K11" s="27">
        <f>J11/A11</f>
        <v>181.65040224872962</v>
      </c>
    </row>
    <row r="12" spans="1:11" x14ac:dyDescent="0.3">
      <c r="A12" s="1">
        <v>2</v>
      </c>
      <c r="B12" s="1">
        <f>B11+C$7</f>
        <v>70</v>
      </c>
      <c r="C12" s="82">
        <f t="shared" ref="C12:C15" si="0">C$4*B12/100</f>
        <v>5.9500000000000004E-3</v>
      </c>
      <c r="D12" s="82"/>
      <c r="E12" s="82"/>
      <c r="F12" s="82">
        <f>F$11+C12</f>
        <v>0.35393927633856248</v>
      </c>
      <c r="G12" s="82"/>
      <c r="H12" s="27">
        <f t="shared" ref="H12:H15" si="1">F12/A12</f>
        <v>0.17696963816928124</v>
      </c>
      <c r="I12" s="1">
        <f>C$6*B12</f>
        <v>1.9599999999999997</v>
      </c>
      <c r="J12" s="1">
        <f>F12*(I12+J$11)</f>
        <v>64.986932900147735</v>
      </c>
      <c r="K12" s="27">
        <f t="shared" ref="K12:K15" si="2">J12/A12</f>
        <v>32.493466450073868</v>
      </c>
    </row>
    <row r="13" spans="1:11" x14ac:dyDescent="0.3">
      <c r="A13" s="1">
        <v>3</v>
      </c>
      <c r="B13" s="1">
        <f t="shared" ref="B13:B15" si="3">B12+C$7</f>
        <v>140</v>
      </c>
      <c r="C13" s="82">
        <f t="shared" si="0"/>
        <v>1.1900000000000001E-2</v>
      </c>
      <c r="D13" s="82"/>
      <c r="E13" s="82"/>
      <c r="F13" s="82">
        <f t="shared" ref="F13:F15" si="4">F$11+C13</f>
        <v>0.35988927633856249</v>
      </c>
      <c r="G13" s="82"/>
      <c r="H13" s="27">
        <f t="shared" si="1"/>
        <v>0.11996309211285416</v>
      </c>
      <c r="I13" s="1">
        <f t="shared" ref="I13:I15" si="5">C$6*B13</f>
        <v>3.9199999999999995</v>
      </c>
      <c r="J13" s="1">
        <f t="shared" ref="J13:J15" si="6">F13*(I13+J$11)</f>
        <v>66.784797775151247</v>
      </c>
      <c r="K13" s="27">
        <f t="shared" si="2"/>
        <v>22.26159925838375</v>
      </c>
    </row>
    <row r="14" spans="1:11" x14ac:dyDescent="0.3">
      <c r="A14" s="1">
        <v>4</v>
      </c>
      <c r="B14" s="1">
        <f t="shared" si="3"/>
        <v>210</v>
      </c>
      <c r="C14" s="82">
        <f t="shared" si="0"/>
        <v>1.7850000000000001E-2</v>
      </c>
      <c r="D14" s="82"/>
      <c r="E14" s="82"/>
      <c r="F14" s="82">
        <f t="shared" si="4"/>
        <v>0.36583927633856245</v>
      </c>
      <c r="G14" s="82"/>
      <c r="H14" s="27">
        <f t="shared" si="1"/>
        <v>9.1459819084640612E-2</v>
      </c>
      <c r="I14" s="1">
        <f t="shared" si="5"/>
        <v>5.879999999999999</v>
      </c>
      <c r="J14" s="1">
        <f t="shared" si="6"/>
        <v>68.605986650154762</v>
      </c>
      <c r="K14" s="27">
        <f t="shared" si="2"/>
        <v>17.15149666253869</v>
      </c>
    </row>
    <row r="15" spans="1:11" x14ac:dyDescent="0.3">
      <c r="A15" s="1">
        <v>5</v>
      </c>
      <c r="B15" s="1">
        <f t="shared" si="3"/>
        <v>280</v>
      </c>
      <c r="C15" s="82">
        <f t="shared" si="0"/>
        <v>2.3800000000000002E-2</v>
      </c>
      <c r="D15" s="82"/>
      <c r="E15" s="82"/>
      <c r="F15" s="82">
        <f t="shared" si="4"/>
        <v>0.37178927633856246</v>
      </c>
      <c r="G15" s="82"/>
      <c r="H15" s="27">
        <f t="shared" si="1"/>
        <v>7.4357855267712492E-2</v>
      </c>
      <c r="I15" s="1">
        <f t="shared" si="5"/>
        <v>7.839999999999999</v>
      </c>
      <c r="J15" s="1">
        <f t="shared" si="6"/>
        <v>70.450499525158293</v>
      </c>
      <c r="K15" s="27">
        <f t="shared" si="2"/>
        <v>14.090099905031659</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0.30579948974846816</v>
      </c>
      <c r="G17" s="95"/>
      <c r="H17" s="27">
        <f>F17/A17</f>
        <v>0.30579948974846816</v>
      </c>
      <c r="I17" s="1">
        <v>0</v>
      </c>
      <c r="J17" s="1">
        <f>F17*(0.5*C$8+0.5*F$6)</f>
        <v>117.94978676815334</v>
      </c>
      <c r="K17" s="27">
        <f>J17/A17</f>
        <v>117.94978676815334</v>
      </c>
    </row>
    <row r="18" spans="1:11" x14ac:dyDescent="0.3">
      <c r="A18" s="1">
        <v>2</v>
      </c>
      <c r="B18" s="1">
        <f>C$7+B17</f>
        <v>70</v>
      </c>
      <c r="C18" s="76">
        <f>B18*(0.5*C$4+0.5*'Transport c&amp;e fuel vehicles'!C$5)/100</f>
        <v>1.6975000000000001E-2</v>
      </c>
      <c r="D18" s="77"/>
      <c r="E18" s="78"/>
      <c r="F18" s="76">
        <f>F$17+C18</f>
        <v>0.32277448974846817</v>
      </c>
      <c r="G18" s="78"/>
      <c r="H18" s="27">
        <f t="shared" ref="H18:H21" si="7">F18/A18</f>
        <v>0.16138724487423409</v>
      </c>
      <c r="I18" s="1">
        <f>B18*(0.5*C$6+0.5*'Transport c&amp;e fuel vehicles'!C$6)/100</f>
        <v>4.4800000000000006E-2</v>
      </c>
      <c r="J18" s="1">
        <f>F18*(I18+J$17)</f>
        <v>38.085642537172049</v>
      </c>
      <c r="K18" s="27">
        <f t="shared" ref="K18:K21" si="8">J18/A18</f>
        <v>19.042821268586025</v>
      </c>
    </row>
    <row r="19" spans="1:11" x14ac:dyDescent="0.3">
      <c r="A19" s="1">
        <v>3</v>
      </c>
      <c r="B19" s="1">
        <f t="shared" ref="B19:B21" si="9">C$7+B18</f>
        <v>140</v>
      </c>
      <c r="C19" s="76">
        <f>B19*(0.5*C$4+0.5*'Transport c&amp;e fuel vehicles'!C$5)/100</f>
        <v>3.3950000000000001E-2</v>
      </c>
      <c r="D19" s="77"/>
      <c r="E19" s="78"/>
      <c r="F19" s="76">
        <f t="shared" ref="F19:F21" si="10">F$17+C19</f>
        <v>0.33974948974846814</v>
      </c>
      <c r="G19" s="78"/>
      <c r="H19" s="27">
        <f t="shared" si="7"/>
        <v>0.11324982991615605</v>
      </c>
      <c r="I19" s="1">
        <f>B19*(0.5*C$6+0.5*'Transport c&amp;e fuel vehicles'!C$6)/100</f>
        <v>8.9600000000000013E-2</v>
      </c>
      <c r="J19" s="1">
        <f t="shared" ref="J19:J21" si="11">F19*(I19+J$17)</f>
        <v>40.103821424702183</v>
      </c>
      <c r="K19" s="27">
        <f t="shared" si="8"/>
        <v>13.367940474900728</v>
      </c>
    </row>
    <row r="20" spans="1:11" x14ac:dyDescent="0.3">
      <c r="A20" s="1">
        <v>4</v>
      </c>
      <c r="B20" s="1">
        <f t="shared" si="9"/>
        <v>210</v>
      </c>
      <c r="C20" s="76">
        <f>B20*(0.5*C$4+0.5*'Transport c&amp;e fuel vehicles'!C$5)/100</f>
        <v>5.0925000000000005E-2</v>
      </c>
      <c r="D20" s="77"/>
      <c r="E20" s="78"/>
      <c r="F20" s="76">
        <f t="shared" si="10"/>
        <v>0.35672448974846815</v>
      </c>
      <c r="G20" s="78"/>
      <c r="H20" s="27">
        <f t="shared" si="7"/>
        <v>8.9181122437117039E-2</v>
      </c>
      <c r="I20" s="1">
        <f>B20*(0.5*C$6+0.5*'Transport c&amp;e fuel vehicles'!C$6)/100</f>
        <v>0.13439999999999999</v>
      </c>
      <c r="J20" s="1">
        <f t="shared" si="11"/>
        <v>42.123521272232317</v>
      </c>
      <c r="K20" s="27">
        <f t="shared" si="8"/>
        <v>10.530880318058079</v>
      </c>
    </row>
    <row r="21" spans="1:11" x14ac:dyDescent="0.3">
      <c r="A21" s="1">
        <v>5</v>
      </c>
      <c r="B21" s="1">
        <f t="shared" si="9"/>
        <v>280</v>
      </c>
      <c r="C21" s="76">
        <f>B21*(0.5*C$4+0.5*'Transport c&amp;e fuel vehicles'!C$5)/100</f>
        <v>6.7900000000000002E-2</v>
      </c>
      <c r="D21" s="77"/>
      <c r="E21" s="78"/>
      <c r="F21" s="76">
        <f t="shared" si="10"/>
        <v>0.37369948974846817</v>
      </c>
      <c r="G21" s="78"/>
      <c r="H21" s="27">
        <f t="shared" si="7"/>
        <v>7.4739897949693629E-2</v>
      </c>
      <c r="I21" s="1">
        <f>B21*(0.5*C$6+0.5*'Transport c&amp;e fuel vehicles'!C$6)/100</f>
        <v>0.17920000000000003</v>
      </c>
      <c r="J21" s="1">
        <f t="shared" si="11"/>
        <v>44.144742079762452</v>
      </c>
      <c r="K21" s="27">
        <f t="shared" si="8"/>
        <v>8.8289484159524907</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0.14081426530909272</v>
      </c>
      <c r="G23" s="98"/>
      <c r="H23" s="27">
        <f>F23/A23</f>
        <v>0.14081426530909272</v>
      </c>
      <c r="I23" s="1">
        <v>0</v>
      </c>
      <c r="J23" s="1">
        <f>C$8*F23</f>
        <v>73.505046491346405</v>
      </c>
      <c r="K23" s="27">
        <f>J23/A23</f>
        <v>73.505046491346405</v>
      </c>
    </row>
    <row r="24" spans="1:11" x14ac:dyDescent="0.3">
      <c r="A24" s="1">
        <v>2</v>
      </c>
      <c r="B24" s="1">
        <f>C7+B23</f>
        <v>70</v>
      </c>
      <c r="C24" s="82">
        <f>C$5*B24/100</f>
        <v>0</v>
      </c>
      <c r="D24" s="82"/>
      <c r="E24" s="82"/>
      <c r="F24" s="82">
        <f>F23+C24</f>
        <v>0.14081426530909272</v>
      </c>
      <c r="G24" s="82"/>
      <c r="H24" s="27">
        <f>F24/A24</f>
        <v>7.0407132654546359E-2</v>
      </c>
      <c r="I24" s="1">
        <f>C6*B24</f>
        <v>1.9599999999999997</v>
      </c>
      <c r="J24" s="1">
        <f>F24*(I24+J23)</f>
        <v>10.626555078195468</v>
      </c>
      <c r="K24" s="27">
        <f>J24/A24</f>
        <v>5.3132775390977338</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1.2644959169279161E-2</v>
      </c>
      <c r="G26" s="95"/>
      <c r="H26" s="27">
        <f>F26/A26</f>
        <v>1.2644959169279161E-2</v>
      </c>
      <c r="I26" s="1">
        <v>0</v>
      </c>
      <c r="J26" s="1">
        <f>C$8*F26</f>
        <v>6.6006686863637221</v>
      </c>
      <c r="K26" s="27">
        <f>J26/A26</f>
        <v>6.6006686863637221</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2.7414271478997221E-2</v>
      </c>
      <c r="G28" s="95"/>
      <c r="H28" s="27">
        <f>F28/A28</f>
        <v>2.7414271478997221E-2</v>
      </c>
      <c r="I28" s="1">
        <v>0</v>
      </c>
      <c r="J28" s="1">
        <f>C$8*F28</f>
        <v>14.310249712036549</v>
      </c>
      <c r="K28" s="27">
        <f>J28/A28</f>
        <v>14.310249712036549</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5.4093282256418158</v>
      </c>
      <c r="G30" s="95"/>
      <c r="H30" s="2">
        <f>F30/A30</f>
        <v>5.4093282256418158</v>
      </c>
      <c r="I30" s="1">
        <v>0</v>
      </c>
      <c r="J30" s="1">
        <f>C$8*F30</f>
        <v>2823.6693337850279</v>
      </c>
      <c r="K30" s="27">
        <f>J30/A30</f>
        <v>2823.6693337850279</v>
      </c>
    </row>
    <row r="31" spans="1:11" x14ac:dyDescent="0.3">
      <c r="A31" s="18">
        <f>'Passenger transport data'!H6</f>
        <v>26.510495049504954</v>
      </c>
      <c r="B31" s="1">
        <f>C$7*A31</f>
        <v>1855.7346534653468</v>
      </c>
      <c r="C31" s="76">
        <f t="shared" ref="C31:C33" si="12">C$4*B31/100</f>
        <v>0.15773744554455449</v>
      </c>
      <c r="D31" s="77"/>
      <c r="E31" s="78"/>
      <c r="F31" s="76">
        <f>F$30+C31</f>
        <v>5.56706567118637</v>
      </c>
      <c r="G31" s="78"/>
      <c r="H31" s="27">
        <f t="shared" ref="H31:H33" si="13">F31/A31</f>
        <v>0.20999478360515667</v>
      </c>
      <c r="I31" s="1">
        <f>C$6*B31</f>
        <v>51.960570297029705</v>
      </c>
      <c r="J31" s="1">
        <f>F31*(I31+J$30)</f>
        <v>16008.820522052178</v>
      </c>
      <c r="K31" s="27">
        <f t="shared" ref="K31:K33" si="14">J31/A31</f>
        <v>603.86727943622918</v>
      </c>
    </row>
    <row r="32" spans="1:11" x14ac:dyDescent="0.3">
      <c r="A32" s="18">
        <f>'Passenger transport data'!I6</f>
        <v>83.366336633663366</v>
      </c>
      <c r="B32" s="1">
        <f>C$7*A32</f>
        <v>5835.6435643564355</v>
      </c>
      <c r="C32" s="76">
        <f t="shared" si="12"/>
        <v>0.49602970297029708</v>
      </c>
      <c r="D32" s="77"/>
      <c r="E32" s="78"/>
      <c r="F32" s="76">
        <f t="shared" ref="F32:F33" si="15">F$30+C32</f>
        <v>5.9053579286121129</v>
      </c>
      <c r="G32" s="78"/>
      <c r="H32" s="27">
        <f t="shared" si="13"/>
        <v>7.083624118643983E-2</v>
      </c>
      <c r="I32" s="1">
        <f t="shared" ref="I32:I33" si="16">C$6*B32</f>
        <v>163.39801980198018</v>
      </c>
      <c r="J32" s="1">
        <f t="shared" ref="J32:J33" si="17">F32*(I32+J$30)</f>
        <v>17639.701879803441</v>
      </c>
      <c r="K32" s="27">
        <f t="shared" si="14"/>
        <v>211.59262349882988</v>
      </c>
    </row>
    <row r="33" spans="1:11" x14ac:dyDescent="0.3">
      <c r="A33" s="18">
        <f>'Passenger transport data'!J6</f>
        <v>140.22217821782178</v>
      </c>
      <c r="B33" s="1">
        <f>C$7*A33</f>
        <v>9815.5524752475249</v>
      </c>
      <c r="C33" s="76">
        <f t="shared" si="12"/>
        <v>0.83432196039603967</v>
      </c>
      <c r="D33" s="77"/>
      <c r="E33" s="78"/>
      <c r="F33" s="76">
        <f t="shared" si="15"/>
        <v>6.2436501860378559</v>
      </c>
      <c r="G33" s="78"/>
      <c r="H33" s="27">
        <f t="shared" si="13"/>
        <v>4.4526837804066494E-2</v>
      </c>
      <c r="I33" s="1">
        <f t="shared" si="16"/>
        <v>274.83546930693069</v>
      </c>
      <c r="J33" s="1">
        <f t="shared" si="17"/>
        <v>19345.9800902643</v>
      </c>
      <c r="K33" s="27">
        <f t="shared" si="14"/>
        <v>137.96662080239665</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28.400906589132504</v>
      </c>
      <c r="G35" s="95"/>
      <c r="H35" s="2">
        <f>F35/A35</f>
        <v>28.400906589132504</v>
      </c>
      <c r="I35" s="1">
        <v>0</v>
      </c>
      <c r="J35" s="34">
        <f>C$8*F35</f>
        <v>14825.273239527167</v>
      </c>
      <c r="K35" s="27">
        <f>J35/A35</f>
        <v>14825.273239527167</v>
      </c>
    </row>
    <row r="36" spans="1:11" x14ac:dyDescent="0.3">
      <c r="A36" s="18">
        <f>'Passenger transport data'!H7</f>
        <v>26.108820882088207</v>
      </c>
      <c r="B36" s="1">
        <f>C$7*A36</f>
        <v>1827.6174617461745</v>
      </c>
      <c r="C36" s="76">
        <f t="shared" ref="C36:C38" si="18">C$4*B36/100</f>
        <v>0.15534748424842484</v>
      </c>
      <c r="D36" s="77"/>
      <c r="E36" s="78"/>
      <c r="F36" s="76">
        <f>F$35+C36</f>
        <v>28.556254073380927</v>
      </c>
      <c r="G36" s="78"/>
      <c r="H36" s="27">
        <f t="shared" ref="H36:H38" si="19">F36/A36</f>
        <v>1.0937397059157032</v>
      </c>
      <c r="I36" s="1">
        <f>C$6*B36</f>
        <v>51.17328892889288</v>
      </c>
      <c r="J36" s="34">
        <f>F36*(I36+J$35)</f>
        <v>424815.58677565691</v>
      </c>
      <c r="K36" s="27">
        <f t="shared" ref="K36:K38" si="20">J36/A36</f>
        <v>16270.960251104216</v>
      </c>
    </row>
    <row r="37" spans="1:11" x14ac:dyDescent="0.3">
      <c r="A37" s="18">
        <f>'Passenger transport data'!I7</f>
        <v>82.103210321032094</v>
      </c>
      <c r="B37" s="1">
        <f t="shared" ref="B37:B38" si="21">C$7*A37</f>
        <v>5747.2247224722469</v>
      </c>
      <c r="C37" s="76">
        <f t="shared" si="18"/>
        <v>0.48851410141014101</v>
      </c>
      <c r="D37" s="77"/>
      <c r="E37" s="78"/>
      <c r="F37" s="76">
        <f t="shared" ref="F37:F38" si="22">F$35+C37</f>
        <v>28.889420690542643</v>
      </c>
      <c r="G37" s="78"/>
      <c r="H37" s="27">
        <f t="shared" si="19"/>
        <v>0.35186712648119362</v>
      </c>
      <c r="I37" s="1">
        <f t="shared" ref="I37:I38" si="23">C$6*B37</f>
        <v>160.9222922292229</v>
      </c>
      <c r="J37" s="34">
        <f t="shared" ref="J37:J38" si="24">F37*(I37+J$35)</f>
        <v>432942.50726764073</v>
      </c>
      <c r="K37" s="27">
        <f t="shared" si="20"/>
        <v>5273.1495586444244</v>
      </c>
    </row>
    <row r="38" spans="1:11" x14ac:dyDescent="0.3">
      <c r="A38" s="18">
        <f>'Passenger transport data'!J7</f>
        <v>138.09759975997596</v>
      </c>
      <c r="B38" s="1">
        <f t="shared" si="21"/>
        <v>9666.8319831983172</v>
      </c>
      <c r="C38" s="76">
        <f t="shared" si="18"/>
        <v>0.82168071857185709</v>
      </c>
      <c r="D38" s="77"/>
      <c r="E38" s="78"/>
      <c r="F38" s="76">
        <f t="shared" si="22"/>
        <v>29.222587307704362</v>
      </c>
      <c r="G38" s="78"/>
      <c r="H38" s="27">
        <f t="shared" si="19"/>
        <v>0.21160822026230305</v>
      </c>
      <c r="I38" s="1">
        <f t="shared" si="23"/>
        <v>270.67129552955288</v>
      </c>
      <c r="J38" s="34">
        <f t="shared" si="24"/>
        <v>441142.55716795754</v>
      </c>
      <c r="K38" s="27">
        <f t="shared" si="20"/>
        <v>3194.4259562417924</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0.34798927633856247</v>
      </c>
    </row>
    <row r="8" spans="1:6" x14ac:dyDescent="0.3">
      <c r="B8" s="1" t="s">
        <v>99</v>
      </c>
      <c r="C8" s="1">
        <v>6.96</v>
      </c>
      <c r="D8" s="1">
        <f t="shared" ref="D8:D10" si="0">C8/100</f>
        <v>6.9599999999999995E-2</v>
      </c>
      <c r="E8" s="1">
        <f>D8/D$7</f>
        <v>0.40465116279069768</v>
      </c>
      <c r="F8" s="1">
        <f>F$7*E8</f>
        <v>0.14081426530909272</v>
      </c>
    </row>
    <row r="9" spans="1:6" x14ac:dyDescent="0.3">
      <c r="B9" s="1" t="s">
        <v>100</v>
      </c>
      <c r="C9" s="1">
        <v>0.625</v>
      </c>
      <c r="D9" s="1">
        <f t="shared" si="0"/>
        <v>6.2500000000000003E-3</v>
      </c>
      <c r="E9" s="1">
        <f>D9/D$7</f>
        <v>3.6337209302325583E-2</v>
      </c>
      <c r="F9" s="1">
        <f t="shared" ref="F9:F10" si="1">F$7*E9</f>
        <v>1.2644959169279161E-2</v>
      </c>
    </row>
    <row r="10" spans="1:6" x14ac:dyDescent="0.3">
      <c r="B10" s="1" t="s">
        <v>101</v>
      </c>
      <c r="C10" s="1">
        <v>1.355</v>
      </c>
      <c r="D10" s="1">
        <f t="shared" si="0"/>
        <v>1.355E-2</v>
      </c>
      <c r="E10" s="1">
        <f>D10/D$7</f>
        <v>7.8779069767441867E-2</v>
      </c>
      <c r="F10" s="1">
        <f t="shared" si="1"/>
        <v>2.7414271478997221E-2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2022-06-27T11:41:18Z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