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0" documentId="8_{4C372892-E9C3-428B-950B-C5A505A38EBC}" xr6:coauthVersionLast="47" xr6:coauthVersionMax="47" xr10:uidLastSave="{62E74D4C-AA3E-408C-9995-256BEABB7566}"/>
  <bookViews>
    <workbookView xWindow="-108" yWindow="-108" windowWidth="23256" windowHeight="12456" activeTab="1"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B33" i="4" l="1"/>
  <c r="B32" i="4"/>
  <c r="B31" i="4"/>
  <c r="B27" i="4"/>
  <c r="B26" i="4"/>
  <c r="B25" i="4"/>
  <c r="B24" i="4"/>
  <c r="B22" i="4"/>
  <c r="B21" i="4"/>
  <c r="B20" i="4"/>
  <c r="B16" i="4"/>
  <c r="B15" i="4"/>
  <c r="B13" i="4"/>
  <c r="B12" i="4"/>
  <c r="B11" i="4"/>
  <c r="B10" i="4"/>
  <c r="B8" i="4"/>
  <c r="B6" i="4"/>
  <c r="D10" i="1"/>
  <c r="B10" i="1"/>
  <c r="B4" i="1" l="1"/>
  <c r="B3" i="1"/>
  <c r="H6" i="12" l="1"/>
  <c r="H4" i="12" l="1"/>
  <c r="C15" i="11"/>
  <c r="K6" i="10" l="1"/>
  <c r="G5" i="10"/>
  <c r="F8" i="10"/>
  <c r="C11" i="11"/>
  <c r="E5" i="11" l="1"/>
  <c r="C8" i="10"/>
  <c r="I6" i="10"/>
  <c r="C5" i="10"/>
  <c r="C26" i="10" s="1"/>
  <c r="I4" i="10"/>
  <c r="F25" i="8"/>
  <c r="C25" i="8"/>
  <c r="C11" i="10" l="1"/>
  <c r="C31" i="10"/>
  <c r="C16" i="10"/>
  <c r="C21" i="10"/>
  <c r="H25" i="8"/>
  <c r="D25" i="4"/>
  <c r="B10" i="12" s="1"/>
  <c r="D15" i="4"/>
  <c r="D11" i="1"/>
  <c r="B11" i="1"/>
  <c r="H5" i="12" l="1"/>
  <c r="C10" i="12" s="1"/>
  <c r="F8" i="8"/>
  <c r="J25" i="8" s="1"/>
  <c r="K25" i="8" s="1"/>
  <c r="D3" i="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18" i="10"/>
  <c r="B18" i="10" s="1"/>
  <c r="A33" i="10"/>
  <c r="B33" i="10" s="1"/>
  <c r="A28" i="10"/>
  <c r="B28" i="10" s="1"/>
  <c r="A13" i="10"/>
  <c r="B13" i="10" s="1"/>
  <c r="A23" i="10"/>
  <c r="B2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C27" i="8"/>
  <c r="F27" i="8" s="1"/>
  <c r="I27" i="8"/>
  <c r="A38" i="9"/>
  <c r="B38" i="9" s="1"/>
  <c r="A39" i="12"/>
  <c r="A28" i="8"/>
  <c r="B28" i="8" s="1"/>
  <c r="A42" i="12"/>
  <c r="A33" i="9"/>
  <c r="A51" i="12"/>
  <c r="A31" i="9"/>
  <c r="B31" i="9" s="1"/>
  <c r="C31" i="9" s="1"/>
  <c r="A49" i="12"/>
  <c r="C13" i="10"/>
  <c r="I13" i="10"/>
  <c r="I23" i="10"/>
  <c r="C23" i="10"/>
  <c r="I28" i="10"/>
  <c r="C28" i="10"/>
  <c r="A21" i="8"/>
  <c r="B21" i="8" s="1"/>
  <c r="I21" i="8" s="1"/>
  <c r="A17" i="12"/>
  <c r="A22" i="10"/>
  <c r="B22" i="10" s="1"/>
  <c r="A32" i="10"/>
  <c r="B32" i="10" s="1"/>
  <c r="A17" i="10"/>
  <c r="B17" i="10" s="1"/>
  <c r="A27" i="10"/>
  <c r="B27" i="10" s="1"/>
  <c r="A12" i="10"/>
  <c r="B12" i="10" s="1"/>
  <c r="I33" i="10"/>
  <c r="C33" i="10"/>
  <c r="I18" i="10"/>
  <c r="C18" i="10"/>
  <c r="A19" i="12"/>
  <c r="A34" i="10"/>
  <c r="B34" i="10" s="1"/>
  <c r="A19" i="10"/>
  <c r="B19" i="10" s="1"/>
  <c r="A29" i="10"/>
  <c r="B29" i="10" s="1"/>
  <c r="A14" i="10"/>
  <c r="B14" i="10" s="1"/>
  <c r="A24" i="10"/>
  <c r="B24" i="10" s="1"/>
  <c r="A26" i="12"/>
  <c r="A34" i="12"/>
  <c r="A22" i="12"/>
  <c r="A30" i="12"/>
  <c r="C43" i="9"/>
  <c r="I43" i="9"/>
  <c r="C42" i="9"/>
  <c r="C41" i="9"/>
  <c r="I38" i="9"/>
  <c r="C38" i="9"/>
  <c r="I37" i="9"/>
  <c r="C37" i="9"/>
  <c r="C36" i="9"/>
  <c r="I36" i="9"/>
  <c r="C32" i="9"/>
  <c r="I32" i="9"/>
  <c r="I31" i="9"/>
  <c r="B33" i="9"/>
  <c r="A23" i="8"/>
  <c r="B23" i="8" s="1"/>
  <c r="I23" i="8" s="1"/>
  <c r="C22" i="8"/>
  <c r="D29" i="4"/>
  <c r="D26" i="4"/>
  <c r="D27" i="4"/>
  <c r="D24" i="4"/>
  <c r="D17" i="4"/>
  <c r="D16" i="4"/>
  <c r="L6" i="10" s="1"/>
  <c r="D10" i="4"/>
  <c r="F11" i="8" s="1"/>
  <c r="D11" i="4"/>
  <c r="F17" i="9" s="1"/>
  <c r="D12" i="4"/>
  <c r="D13" i="4"/>
  <c r="D8" i="4"/>
  <c r="F17" i="8" s="1"/>
  <c r="F40" i="9" l="1"/>
  <c r="H40" i="9" s="1"/>
  <c r="B11" i="12"/>
  <c r="B46" i="12" s="1"/>
  <c r="B45" i="12"/>
  <c r="B47" i="12"/>
  <c r="F35" i="9"/>
  <c r="H35" i="9" s="1"/>
  <c r="B9" i="12"/>
  <c r="B38" i="12" s="1"/>
  <c r="F30" i="9"/>
  <c r="H30" i="9" s="1"/>
  <c r="B12" i="12"/>
  <c r="B50" i="12" s="1"/>
  <c r="A43" i="12"/>
  <c r="B39" i="12"/>
  <c r="H27" i="8"/>
  <c r="J27" i="8"/>
  <c r="K27" i="8" s="1"/>
  <c r="I28" i="8"/>
  <c r="C28" i="8"/>
  <c r="F28" i="8" s="1"/>
  <c r="I26" i="8"/>
  <c r="C26" i="8"/>
  <c r="F26" i="8" s="1"/>
  <c r="A41" i="12"/>
  <c r="B37" i="12"/>
  <c r="B42" i="12"/>
  <c r="C42" i="12"/>
  <c r="F20" i="8"/>
  <c r="B4" i="12"/>
  <c r="F11" i="10"/>
  <c r="H11" i="10" s="1"/>
  <c r="F31" i="10"/>
  <c r="H31" i="10" s="1"/>
  <c r="F26" i="10"/>
  <c r="F21" i="10"/>
  <c r="F16" i="10"/>
  <c r="H16" i="10" s="1"/>
  <c r="F13" i="10"/>
  <c r="H13" i="10" s="1"/>
  <c r="C12" i="10"/>
  <c r="F12" i="10" s="1"/>
  <c r="H12" i="10" s="1"/>
  <c r="I12" i="10"/>
  <c r="I24" i="10"/>
  <c r="C24" i="10"/>
  <c r="C21" i="8"/>
  <c r="I19" i="10"/>
  <c r="C19" i="10"/>
  <c r="C27" i="10"/>
  <c r="I27" i="10"/>
  <c r="A25" i="12"/>
  <c r="A33" i="12"/>
  <c r="B17" i="12"/>
  <c r="A21" i="12"/>
  <c r="A29" i="12"/>
  <c r="C14" i="10"/>
  <c r="F14" i="10" s="1"/>
  <c r="H14" i="10" s="1"/>
  <c r="I14" i="10"/>
  <c r="I29" i="10"/>
  <c r="C29" i="10"/>
  <c r="F29" i="10" s="1"/>
  <c r="I34" i="10"/>
  <c r="C34" i="10"/>
  <c r="F34" i="10" s="1"/>
  <c r="H34" i="10" s="1"/>
  <c r="I17" i="10"/>
  <c r="C17" i="10"/>
  <c r="A31" i="12"/>
  <c r="A35" i="12"/>
  <c r="A27" i="12"/>
  <c r="A23" i="12"/>
  <c r="C32" i="10"/>
  <c r="I32" i="10"/>
  <c r="I22" i="10"/>
  <c r="C22" i="10"/>
  <c r="C8" i="9"/>
  <c r="H3" i="12"/>
  <c r="C10" i="11"/>
  <c r="C8" i="8"/>
  <c r="J11" i="8" s="1"/>
  <c r="K11" i="8" s="1"/>
  <c r="F41" i="9"/>
  <c r="H41" i="9" s="1"/>
  <c r="F42" i="9"/>
  <c r="H42" i="9" s="1"/>
  <c r="F43" i="9"/>
  <c r="H43" i="9" s="1"/>
  <c r="F38" i="9"/>
  <c r="H38" i="9" s="1"/>
  <c r="F37" i="9"/>
  <c r="H37" i="9" s="1"/>
  <c r="F36" i="9"/>
  <c r="H36" i="9" s="1"/>
  <c r="H20" i="8"/>
  <c r="F22" i="8"/>
  <c r="F11" i="9"/>
  <c r="F7" i="7"/>
  <c r="H17" i="9"/>
  <c r="F19" i="9"/>
  <c r="F20" i="9"/>
  <c r="F21" i="9"/>
  <c r="F18" i="9"/>
  <c r="H11" i="8"/>
  <c r="F13" i="8"/>
  <c r="J13" i="8" s="1"/>
  <c r="F12" i="8"/>
  <c r="F14" i="8"/>
  <c r="F15" i="8"/>
  <c r="H17" i="8"/>
  <c r="F18" i="8"/>
  <c r="C23" i="8"/>
  <c r="F23" i="8" s="1"/>
  <c r="I33" i="9"/>
  <c r="C33" i="9"/>
  <c r="F33" i="9" s="1"/>
  <c r="E10" i="1"/>
  <c r="J20" i="8" l="1"/>
  <c r="K20" i="8" s="1"/>
  <c r="J17" i="8"/>
  <c r="K17" i="8" s="1"/>
  <c r="J14" i="8"/>
  <c r="F21" i="8"/>
  <c r="F32" i="9"/>
  <c r="H32" i="9" s="1"/>
  <c r="B49" i="12"/>
  <c r="F31" i="9"/>
  <c r="H31" i="9" s="1"/>
  <c r="B51" i="12"/>
  <c r="H26" i="8"/>
  <c r="J26" i="8"/>
  <c r="K26" i="8" s="1"/>
  <c r="H28" i="8"/>
  <c r="J28" i="8"/>
  <c r="K28" i="8" s="1"/>
  <c r="B41" i="12"/>
  <c r="C41" i="12"/>
  <c r="B43" i="12"/>
  <c r="C43" i="12"/>
  <c r="J18" i="8"/>
  <c r="J15" i="8"/>
  <c r="K15" i="8" s="1"/>
  <c r="J26" i="10"/>
  <c r="K26" i="10" s="1"/>
  <c r="H26" i="10"/>
  <c r="F18" i="10"/>
  <c r="H18" i="10" s="1"/>
  <c r="F22" i="10"/>
  <c r="H22" i="10" s="1"/>
  <c r="F24" i="10"/>
  <c r="H24" i="10" s="1"/>
  <c r="B8" i="12"/>
  <c r="B7" i="12"/>
  <c r="B34" i="12" s="1"/>
  <c r="B6" i="12"/>
  <c r="B5" i="12"/>
  <c r="B22" i="12" s="1"/>
  <c r="B18" i="12"/>
  <c r="J21" i="10"/>
  <c r="K21" i="10" s="1"/>
  <c r="H21" i="10"/>
  <c r="F27" i="10"/>
  <c r="H27" i="10" s="1"/>
  <c r="F33" i="10"/>
  <c r="H33" i="10" s="1"/>
  <c r="F32" i="10"/>
  <c r="H32" i="10" s="1"/>
  <c r="F17" i="10"/>
  <c r="H17" i="10" s="1"/>
  <c r="B19" i="12"/>
  <c r="B21" i="12"/>
  <c r="F19" i="10"/>
  <c r="H19" i="10" s="1"/>
  <c r="F23" i="10"/>
  <c r="F28" i="10"/>
  <c r="J12" i="8"/>
  <c r="B29" i="12"/>
  <c r="H29" i="10"/>
  <c r="B25" i="12"/>
  <c r="B31" i="12"/>
  <c r="B27" i="12"/>
  <c r="J30" i="9"/>
  <c r="J40" i="9"/>
  <c r="J42" i="9" s="1"/>
  <c r="K42" i="9" s="1"/>
  <c r="J35" i="9"/>
  <c r="J38" i="9" s="1"/>
  <c r="K38" i="9" s="1"/>
  <c r="I8" i="10"/>
  <c r="E2" i="11"/>
  <c r="H8" i="12"/>
  <c r="C7" i="12" s="1"/>
  <c r="C9" i="12"/>
  <c r="C11" i="12"/>
  <c r="C12" i="12"/>
  <c r="C5" i="12"/>
  <c r="J21" i="8"/>
  <c r="K21" i="8" s="1"/>
  <c r="J23" i="8"/>
  <c r="K23" i="8" s="1"/>
  <c r="H22" i="8"/>
  <c r="J22" i="8"/>
  <c r="K22" i="8" s="1"/>
  <c r="H21" i="8"/>
  <c r="K40" i="9"/>
  <c r="J43" i="9"/>
  <c r="K43" i="9" s="1"/>
  <c r="F6" i="9"/>
  <c r="J17" i="9" s="1"/>
  <c r="J18" i="9" s="1"/>
  <c r="F8" i="7"/>
  <c r="F23" i="9" s="1"/>
  <c r="F9" i="7"/>
  <c r="F26" i="9" s="1"/>
  <c r="F10" i="7"/>
  <c r="F28" i="9" s="1"/>
  <c r="J11" i="9"/>
  <c r="H11" i="9"/>
  <c r="F12" i="9"/>
  <c r="F13" i="9"/>
  <c r="F14" i="9"/>
  <c r="F15" i="9"/>
  <c r="H20" i="9"/>
  <c r="H21" i="9"/>
  <c r="H19" i="9"/>
  <c r="H18" i="9"/>
  <c r="K13" i="8"/>
  <c r="H13" i="8"/>
  <c r="H15" i="8"/>
  <c r="H12" i="8"/>
  <c r="K12" i="8"/>
  <c r="H14" i="8"/>
  <c r="K14" i="8"/>
  <c r="K18" i="8"/>
  <c r="H18" i="8"/>
  <c r="H23" i="8"/>
  <c r="H33" i="9"/>
  <c r="E9" i="3"/>
  <c r="E5" i="3"/>
  <c r="E3" i="3"/>
  <c r="C3" i="3" s="1"/>
  <c r="J29" i="10" l="1"/>
  <c r="K29" i="10" s="1"/>
  <c r="J22" i="10"/>
  <c r="K22" i="10" s="1"/>
  <c r="B23" i="12"/>
  <c r="J31" i="9"/>
  <c r="K31" i="9" s="1"/>
  <c r="K35" i="9"/>
  <c r="B35" i="12"/>
  <c r="J41" i="9"/>
  <c r="K41" i="9" s="1"/>
  <c r="J32" i="9"/>
  <c r="K32" i="9" s="1"/>
  <c r="J33" i="9"/>
  <c r="K33" i="9" s="1"/>
  <c r="J27" i="10"/>
  <c r="K27" i="10" s="1"/>
  <c r="J24" i="10"/>
  <c r="K24" i="10" s="1"/>
  <c r="C6" i="12"/>
  <c r="B26" i="12"/>
  <c r="J28" i="10"/>
  <c r="K28" i="10" s="1"/>
  <c r="H28" i="10"/>
  <c r="J23" i="10"/>
  <c r="K23" i="10" s="1"/>
  <c r="H23" i="10"/>
  <c r="C8" i="12"/>
  <c r="B30" i="12"/>
  <c r="B33" i="12"/>
  <c r="K30" i="9"/>
  <c r="C35" i="12"/>
  <c r="C34" i="12"/>
  <c r="C33" i="12"/>
  <c r="K8" i="10"/>
  <c r="J31" i="10" s="1"/>
  <c r="H7" i="12"/>
  <c r="C4" i="12" s="1"/>
  <c r="C50" i="12"/>
  <c r="C51" i="12"/>
  <c r="C49" i="12"/>
  <c r="C47" i="12"/>
  <c r="C45" i="12"/>
  <c r="C46" i="12"/>
  <c r="C39" i="12"/>
  <c r="C38" i="12"/>
  <c r="C37" i="12"/>
  <c r="J37" i="9"/>
  <c r="K37" i="9" s="1"/>
  <c r="J36" i="9"/>
  <c r="K36" i="9" s="1"/>
  <c r="J16" i="10"/>
  <c r="J11" i="10"/>
  <c r="C21" i="12"/>
  <c r="C22" i="12"/>
  <c r="C23" i="12"/>
  <c r="C9" i="3"/>
  <c r="C5" i="3"/>
  <c r="K11" i="9"/>
  <c r="J13" i="9"/>
  <c r="K13" i="9" s="1"/>
  <c r="J14" i="9"/>
  <c r="J15" i="9"/>
  <c r="K15" i="9" s="1"/>
  <c r="J12" i="9"/>
  <c r="K12" i="9" s="1"/>
  <c r="K17" i="9"/>
  <c r="J20" i="9"/>
  <c r="K20" i="9" s="1"/>
  <c r="J21" i="9"/>
  <c r="K21" i="9" s="1"/>
  <c r="K18" i="9"/>
  <c r="J19" i="9"/>
  <c r="K19" i="9" s="1"/>
  <c r="K14" i="9"/>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26" i="12" l="1"/>
  <c r="C27" i="12"/>
  <c r="C25" i="12"/>
  <c r="C30" i="12"/>
  <c r="C31" i="12"/>
  <c r="C29" i="12"/>
  <c r="K31" i="10"/>
  <c r="J32" i="10"/>
  <c r="K32" i="10" s="1"/>
  <c r="J33" i="10"/>
  <c r="K33" i="10" s="1"/>
  <c r="J34" i="10"/>
  <c r="K34" i="10" s="1"/>
  <c r="C18" i="12"/>
  <c r="C17" i="12"/>
  <c r="C19" i="12"/>
  <c r="K11" i="10"/>
  <c r="J13" i="10"/>
  <c r="K13" i="10" s="1"/>
  <c r="J12" i="10"/>
  <c r="K12" i="10" s="1"/>
  <c r="J14" i="10"/>
  <c r="K14" i="10" s="1"/>
  <c r="J17" i="10"/>
  <c r="K17" i="10" s="1"/>
  <c r="K16" i="10"/>
  <c r="J19" i="10"/>
  <c r="K19" i="10" s="1"/>
  <c r="J18" i="10"/>
  <c r="K18"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<sst xmlns="http://schemas.openxmlformats.org/spreadsheetml/2006/main" count="307" uniqueCount="195">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</sst>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CZ/JRC-IDEES-2015_Residential_CZ.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CZ/JRC-IDEES-2015_Transport_CZ.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6872.1770265172199</v>
          </cell>
        </row>
        <row r="162">
          <cell r="Q162">
            <v>519.63053921833762</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3711.4955819575816</v>
          </cell>
        </row>
        <row r="56">
          <cell r="Q56">
            <v>10341.828681364226</v>
          </cell>
        </row>
      </sheetData>
      <sheetData sheetId="3">
        <row r="150">
          <cell r="Q150">
            <v>23.938012816385136</v>
          </cell>
        </row>
      </sheetData>
      <sheetData sheetId="4">
        <row r="62">
          <cell r="Q62">
            <v>3.9035733319990782</v>
          </cell>
        </row>
        <row r="64">
          <cell r="Q64">
            <v>6.4277334741596039</v>
          </cell>
        </row>
        <row r="65">
          <cell r="Q65">
            <v>5.7618111132024294</v>
          </cell>
        </row>
        <row r="68">
          <cell r="Q68">
            <v>3.8927998828129575</v>
          </cell>
        </row>
        <row r="69">
          <cell r="Q69">
            <v>2.782625758480215</v>
          </cell>
        </row>
        <row r="70">
          <cell r="Q70">
            <v>49.851076357228379</v>
          </cell>
        </row>
      </sheetData>
      <sheetData sheetId="5">
        <row r="48">
          <cell r="Q48">
            <v>2.789208720442419</v>
          </cell>
        </row>
        <row r="49">
          <cell r="Q49">
            <v>2.9269366713349618</v>
          </cell>
        </row>
      </sheetData>
      <sheetData sheetId="6" refreshError="1"/>
      <sheetData sheetId="7">
        <row r="62">
          <cell r="Q62">
            <v>67.850496277915639</v>
          </cell>
        </row>
        <row r="63">
          <cell r="Q63">
            <v>101.13574378540999</v>
          </cell>
        </row>
        <row r="66">
          <cell r="Q66">
            <v>226.16832092638543</v>
          </cell>
        </row>
      </sheetData>
      <sheetData sheetId="8">
        <row r="31">
          <cell r="Q31">
            <v>35.351283175341969</v>
          </cell>
        </row>
        <row r="33">
          <cell r="Q33">
            <v>187.03163000052177</v>
          </cell>
        </row>
        <row r="34">
          <cell r="Q34">
            <v>115.5249348607727</v>
          </cell>
        </row>
        <row r="35">
          <cell r="Q35">
            <v>216.47347412296102</v>
          </cell>
        </row>
      </sheetData>
      <sheetData sheetId="9">
        <row r="23">
          <cell r="Q23">
            <v>3.1137049157919767</v>
          </cell>
        </row>
      </sheetData>
      <sheetData sheetId="10">
        <row r="69">
          <cell r="Q69">
            <v>117.01874710632254</v>
          </cell>
        </row>
      </sheetData>
      <sheetData sheetId="11">
        <row r="37">
          <cell r="Q37">
            <v>2580.0882161490581</v>
          </cell>
        </row>
      </sheetData>
      <sheetData sheetId="12">
        <row r="41">
          <cell r="Q41">
            <v>7764.9350840520765</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519.63053921833762</v>
      </c>
      <c r="C3" s="6">
        <v>0.495</v>
      </c>
      <c r="D3" s="2">
        <f>B3*$C3</f>
        <v>257.21711691307712</v>
      </c>
      <c r="E3" s="31">
        <v>55.34</v>
      </c>
    </row>
    <row r="4" spans="1:5" x14ac:dyDescent="0.3">
      <c r="A4" s="1" t="s">
        <v>5</v>
      </c>
      <c r="B4" s="6">
        <f>[1]RES_summary!$Q$157</f>
        <v>6872.1770265172199</v>
      </c>
      <c r="C4" s="6">
        <v>0.20200000000000001</v>
      </c>
      <c r="D4" s="29">
        <f>B4*$C4</f>
        <v>1388.1797593564786</v>
      </c>
      <c r="E4" s="31">
        <v>120.58</v>
      </c>
    </row>
    <row r="5" spans="1:5" x14ac:dyDescent="0.3">
      <c r="A5" s="1" t="s">
        <v>6</v>
      </c>
      <c r="B5" s="2">
        <f>B3+B4</f>
        <v>7391.8075657355575</v>
      </c>
      <c r="C5" s="3" t="s">
        <v>7</v>
      </c>
      <c r="D5" s="29">
        <f>D3+D4</f>
        <v>1645.3968762695558</v>
      </c>
      <c r="E5" s="31">
        <f>E3+E4</f>
        <v>175.92000000000002</v>
      </c>
    </row>
    <row r="7" spans="1:5" x14ac:dyDescent="0.3">
      <c r="A7" t="s">
        <v>20</v>
      </c>
      <c r="B7" s="5">
        <v>10538275</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3711.4955819575816</v>
      </c>
      <c r="C10" s="2">
        <f>B10*11630*1000/B7</f>
        <v>4095.9923344348749</v>
      </c>
      <c r="D10" s="6">
        <f>[2]Transport!$Q$56</f>
        <v>10341.828681364226</v>
      </c>
      <c r="E10" s="2">
        <f>D10*1000000/B7</f>
        <v>981.35877848739244</v>
      </c>
    </row>
    <row r="11" spans="1:5" x14ac:dyDescent="0.3">
      <c r="A11" s="39" t="s">
        <v>142</v>
      </c>
      <c r="B11" s="40">
        <f>B10*11630</f>
        <v>43164693.618166678</v>
      </c>
      <c r="C11" s="40" t="s">
        <v>143</v>
      </c>
      <c r="D11" s="40">
        <f>D10*1000</f>
        <v>10341828.681364227</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tabSelected="1" workbookViewId="0">
      <selection sqref="A1:G9"/>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389.72290441375321</v>
      </c>
      <c r="C2" s="35">
        <f>E2*0.9</f>
        <v>467.66748529650386</v>
      </c>
      <c r="D2" s="35">
        <f>0.95*E2</f>
        <v>493.64901225742074</v>
      </c>
      <c r="E2" s="35">
        <f>'Cons and emi per capita'!B3</f>
        <v>519.63053921833762</v>
      </c>
      <c r="F2" s="35">
        <f>1.05*E2</f>
        <v>545.6120661792545</v>
      </c>
      <c r="G2" s="35">
        <f>1.25*E2</f>
        <v>649.53817402292202</v>
      </c>
      <c r="H2" s="12" t="s">
        <v>28</v>
      </c>
    </row>
    <row r="3" spans="1:8" x14ac:dyDescent="0.3">
      <c r="A3" s="1" t="s">
        <v>5</v>
      </c>
      <c r="B3" s="35">
        <f t="shared" ref="B3:B4" si="0">0.75*E3</f>
        <v>5154.1327698879149</v>
      </c>
      <c r="C3" s="35">
        <f t="shared" ref="C3:C4" si="1">E3*0.9</f>
        <v>6184.9593238654979</v>
      </c>
      <c r="D3" s="35">
        <f t="shared" ref="D3:D9" si="2">0.95*E3</f>
        <v>6528.5681751913589</v>
      </c>
      <c r="E3" s="17">
        <f>'Cons and emi per capita'!B4</f>
        <v>6872.1770265172199</v>
      </c>
      <c r="F3" s="35">
        <f t="shared" ref="F3:F9" si="3">1.05*E3</f>
        <v>7215.7858778430809</v>
      </c>
      <c r="G3" s="35">
        <f t="shared" ref="G3:G4" si="4">1.25*E3</f>
        <v>8590.2212831465258</v>
      </c>
      <c r="H3" s="1" t="s">
        <v>28</v>
      </c>
    </row>
    <row r="4" spans="1:8" x14ac:dyDescent="0.3">
      <c r="A4" s="1" t="s">
        <v>18</v>
      </c>
      <c r="B4" s="35">
        <f t="shared" si="0"/>
        <v>5543.8556743016679</v>
      </c>
      <c r="C4" s="35">
        <f t="shared" si="1"/>
        <v>6652.6268091620022</v>
      </c>
      <c r="D4" s="35">
        <f t="shared" si="2"/>
        <v>7022.2171874487794</v>
      </c>
      <c r="E4" s="17">
        <f>E2+E3</f>
        <v>7391.8075657355575</v>
      </c>
      <c r="F4" s="35">
        <f t="shared" si="3"/>
        <v>7761.3979440223357</v>
      </c>
      <c r="G4" s="35">
        <f t="shared" si="4"/>
        <v>9239.7594571694463</v>
      </c>
      <c r="H4" s="1" t="s">
        <v>28</v>
      </c>
    </row>
    <row r="5" spans="1:8" x14ac:dyDescent="0.3">
      <c r="A5" s="1" t="s">
        <v>33</v>
      </c>
      <c r="B5" s="17">
        <f>0.84*E5</f>
        <v>3440.6335609252947</v>
      </c>
      <c r="C5" s="35">
        <f>E5*0.91</f>
        <v>3727.3530243357363</v>
      </c>
      <c r="D5" s="35">
        <f t="shared" si="2"/>
        <v>3891.1927177131311</v>
      </c>
      <c r="E5" s="17">
        <f>'Cons and emi per capita'!C10</f>
        <v>4095.9923344348749</v>
      </c>
      <c r="F5" s="35">
        <f t="shared" si="3"/>
        <v>4300.7919511566188</v>
      </c>
      <c r="G5" s="17">
        <f>1.16*E5</f>
        <v>4751.3511079444543</v>
      </c>
      <c r="H5" s="1" t="s">
        <v>28</v>
      </c>
    </row>
    <row r="6" spans="1:8" x14ac:dyDescent="0.3">
      <c r="A6" s="1" t="s">
        <v>29</v>
      </c>
      <c r="B6" s="17">
        <f>0.75*E6</f>
        <v>192.91283768480784</v>
      </c>
      <c r="C6" s="35">
        <f>E6*0.9</f>
        <v>231.4954052217694</v>
      </c>
      <c r="D6" s="35">
        <f t="shared" si="2"/>
        <v>244.35626106742325</v>
      </c>
      <c r="E6" s="17">
        <f>'Cons and emi per capita'!D3</f>
        <v>257.21711691307712</v>
      </c>
      <c r="F6" s="35">
        <f t="shared" si="3"/>
        <v>270.07797275873099</v>
      </c>
      <c r="G6" s="17">
        <f>1.25*E6</f>
        <v>321.52139614134637</v>
      </c>
      <c r="H6" s="1" t="s">
        <v>30</v>
      </c>
    </row>
    <row r="7" spans="1:8" x14ac:dyDescent="0.3">
      <c r="A7" s="1" t="s">
        <v>31</v>
      </c>
      <c r="B7" s="17">
        <f>0.75*E7</f>
        <v>1041.1348195173589</v>
      </c>
      <c r="C7" s="35">
        <f t="shared" ref="C7:C8" si="5">E7*0.9</f>
        <v>1249.3617834208308</v>
      </c>
      <c r="D7" s="35">
        <f t="shared" si="2"/>
        <v>1318.7707713886546</v>
      </c>
      <c r="E7" s="17">
        <f>'Cons and emi per capita'!D4</f>
        <v>1388.1797593564786</v>
      </c>
      <c r="F7" s="35">
        <f t="shared" si="3"/>
        <v>1457.5887473243026</v>
      </c>
      <c r="G7" s="17">
        <f t="shared" ref="G7:G8" si="6">1.25*E7</f>
        <v>1735.2246991955983</v>
      </c>
      <c r="H7" s="1" t="s">
        <v>30</v>
      </c>
    </row>
    <row r="8" spans="1:8" x14ac:dyDescent="0.3">
      <c r="A8" s="1" t="s">
        <v>32</v>
      </c>
      <c r="B8" s="17">
        <f t="shared" ref="B8" si="7">0.75*E8</f>
        <v>1234.0476572021669</v>
      </c>
      <c r="C8" s="35">
        <f t="shared" si="5"/>
        <v>1480.8571886426002</v>
      </c>
      <c r="D8" s="35">
        <f t="shared" si="2"/>
        <v>1563.127032456078</v>
      </c>
      <c r="E8" s="17">
        <f>E6+E7</f>
        <v>1645.3968762695558</v>
      </c>
      <c r="F8" s="35">
        <f t="shared" si="3"/>
        <v>1727.6667200830336</v>
      </c>
      <c r="G8" s="17">
        <f t="shared" si="6"/>
        <v>2056.7460953369446</v>
      </c>
      <c r="H8" s="1" t="s">
        <v>30</v>
      </c>
    </row>
    <row r="9" spans="1:8" x14ac:dyDescent="0.3">
      <c r="A9" s="1" t="s">
        <v>34</v>
      </c>
      <c r="B9" s="17">
        <f>0.84*E9</f>
        <v>824.34137392940966</v>
      </c>
      <c r="C9" s="35">
        <f>E9*0.91</f>
        <v>893.0364884235272</v>
      </c>
      <c r="D9" s="35">
        <f t="shared" si="2"/>
        <v>932.29083956302281</v>
      </c>
      <c r="E9" s="17">
        <f>'Cons and emi per capita'!E10</f>
        <v>981.35877848739244</v>
      </c>
      <c r="F9" s="35">
        <f t="shared" si="3"/>
        <v>1030.4267174117622</v>
      </c>
      <c r="G9" s="17">
        <f>1.16*E9</f>
        <v>1138.3761830453752</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8984.4892352269635</v>
      </c>
      <c r="C13" s="37">
        <f t="shared" ref="C13:G13" si="8">SUM(C4:C5)</f>
        <v>10379.979833497739</v>
      </c>
      <c r="D13" s="37">
        <f t="shared" si="8"/>
        <v>10913.409905161911</v>
      </c>
      <c r="E13" s="37">
        <f t="shared" si="8"/>
        <v>11487.799900170432</v>
      </c>
      <c r="F13" s="37">
        <f t="shared" si="8"/>
        <v>12062.189895178955</v>
      </c>
      <c r="G13" s="37">
        <f t="shared" si="8"/>
        <v>13991.110565113901</v>
      </c>
    </row>
    <row r="14" spans="1:8" x14ac:dyDescent="0.3">
      <c r="B14" s="37">
        <f>SUM(B8:B9)</f>
        <v>2058.3890311315763</v>
      </c>
      <c r="C14" s="37">
        <f t="shared" ref="C14:G14" si="9">SUM(C8:C9)</f>
        <v>2373.8936770661276</v>
      </c>
      <c r="D14" s="37">
        <f t="shared" si="9"/>
        <v>2495.4178720191007</v>
      </c>
      <c r="E14" s="37">
        <f t="shared" si="9"/>
        <v>2626.7556547569484</v>
      </c>
      <c r="F14" s="37">
        <f t="shared" si="9"/>
        <v>2758.0934374947956</v>
      </c>
      <c r="G14" s="37">
        <f t="shared" si="9"/>
        <v>3195.1222783823196</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10"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7.6122880756104738</v>
      </c>
      <c r="I5" s="17">
        <f>B6</f>
        <v>23.938012816385136</v>
      </c>
      <c r="J5" s="17">
        <f>J$4*I5/I$4</f>
        <v>40.2637375571598</v>
      </c>
    </row>
    <row r="6" spans="1:11" x14ac:dyDescent="0.3">
      <c r="A6" s="1" t="s">
        <v>40</v>
      </c>
      <c r="B6" s="6">
        <f>[2]TrRoad_act!$Q$150</f>
        <v>23.938012816385136</v>
      </c>
      <c r="C6" s="1" t="s">
        <v>59</v>
      </c>
      <c r="D6" s="3" t="s">
        <v>7</v>
      </c>
      <c r="E6" s="1"/>
      <c r="G6" s="1" t="s">
        <v>83</v>
      </c>
      <c r="H6" s="17">
        <f t="shared" ref="H6:H8" si="0">H$4*I6/I$4</f>
        <v>21.576457816377175</v>
      </c>
      <c r="I6" s="17">
        <f>B20</f>
        <v>67.850496277915639</v>
      </c>
      <c r="J6" s="17">
        <f t="shared" ref="J6:J8" si="1">J$4*I6/I$4</f>
        <v>114.12453473945411</v>
      </c>
    </row>
    <row r="7" spans="1:11" x14ac:dyDescent="0.3">
      <c r="A7" s="57" t="s">
        <v>61</v>
      </c>
      <c r="B7" s="57"/>
      <c r="C7" s="57"/>
      <c r="D7" s="57"/>
      <c r="E7" s="57"/>
      <c r="G7" s="1" t="s">
        <v>84</v>
      </c>
      <c r="H7" s="17">
        <f t="shared" si="0"/>
        <v>32.161166523760379</v>
      </c>
      <c r="I7" s="17">
        <f>B21</f>
        <v>101.13574378540999</v>
      </c>
      <c r="J7" s="17">
        <f t="shared" si="1"/>
        <v>170.11032104705959</v>
      </c>
    </row>
    <row r="8" spans="1:11" x14ac:dyDescent="0.3">
      <c r="A8" s="1" t="s">
        <v>42</v>
      </c>
      <c r="B8" s="6">
        <f>[2]TrRoad_ene!$Q$62</f>
        <v>3.9035733319990782</v>
      </c>
      <c r="C8" s="74" t="s">
        <v>60</v>
      </c>
      <c r="D8" s="27">
        <f>B8*11.63/100</f>
        <v>0.45398557851149285</v>
      </c>
      <c r="E8" s="74" t="s">
        <v>41</v>
      </c>
      <c r="G8" s="1" t="s">
        <v>85</v>
      </c>
      <c r="H8" s="17">
        <f t="shared" si="0"/>
        <v>71.921526054590572</v>
      </c>
      <c r="I8" s="17">
        <f>B22</f>
        <v>226.16832092638543</v>
      </c>
      <c r="J8" s="17">
        <f t="shared" si="1"/>
        <v>380.4151157981803</v>
      </c>
    </row>
    <row r="9" spans="1:11" x14ac:dyDescent="0.3">
      <c r="A9" s="1" t="s">
        <v>43</v>
      </c>
      <c r="B9" s="3" t="s">
        <v>7</v>
      </c>
      <c r="C9" s="74"/>
      <c r="D9" s="3" t="s">
        <v>7</v>
      </c>
      <c r="E9" s="74"/>
    </row>
    <row r="10" spans="1:11" x14ac:dyDescent="0.3">
      <c r="A10" s="1" t="s">
        <v>44</v>
      </c>
      <c r="B10" s="6">
        <f>AVERAGE([2]TrRoad_ene!$Q$64:$Q$65)</f>
        <v>6.0947722936810163</v>
      </c>
      <c r="C10" s="74"/>
      <c r="D10" s="27">
        <f t="shared" ref="D10:D13" si="2">B10*11.63/100</f>
        <v>0.70882201775510223</v>
      </c>
      <c r="E10" s="74"/>
    </row>
    <row r="11" spans="1:11" x14ac:dyDescent="0.3">
      <c r="A11" s="1" t="s">
        <v>45</v>
      </c>
      <c r="B11" s="6">
        <f>[2]TrRoad_ene!$Q$68</f>
        <v>3.8927998828129575</v>
      </c>
      <c r="C11" s="74"/>
      <c r="D11" s="27">
        <f t="shared" si="2"/>
        <v>0.45273262637114697</v>
      </c>
      <c r="E11" s="74"/>
    </row>
    <row r="12" spans="1:11" x14ac:dyDescent="0.3">
      <c r="A12" s="1" t="s">
        <v>46</v>
      </c>
      <c r="B12" s="6">
        <f>[2]TrRoad_ene!$Q$69</f>
        <v>2.782625758480215</v>
      </c>
      <c r="C12" s="74"/>
      <c r="D12" s="27">
        <f t="shared" si="2"/>
        <v>0.32361937571124905</v>
      </c>
      <c r="E12" s="74"/>
    </row>
    <row r="13" spans="1:11" x14ac:dyDescent="0.3">
      <c r="A13" s="1" t="s">
        <v>40</v>
      </c>
      <c r="B13" s="6">
        <f>[2]TrRoad_ene!$Q$70</f>
        <v>49.851076357228379</v>
      </c>
      <c r="C13" s="74"/>
      <c r="D13" s="27">
        <f t="shared" si="2"/>
        <v>5.7976801803456617</v>
      </c>
      <c r="E13" s="74"/>
    </row>
    <row r="14" spans="1:11" x14ac:dyDescent="0.3">
      <c r="A14" s="57" t="s">
        <v>63</v>
      </c>
      <c r="B14" s="57"/>
      <c r="C14" s="57"/>
      <c r="D14" s="57"/>
      <c r="E14" s="57"/>
    </row>
    <row r="15" spans="1:11" x14ac:dyDescent="0.3">
      <c r="A15" s="38" t="s">
        <v>145</v>
      </c>
      <c r="B15" s="6">
        <f>[2]TrRail_emi!$Q$23</f>
        <v>3.1137049157919767</v>
      </c>
      <c r="C15" s="1" t="s">
        <v>62</v>
      </c>
      <c r="D15" s="28">
        <f>B15*1000/11630</f>
        <v>0.26773043128047952</v>
      </c>
      <c r="E15" s="1" t="s">
        <v>47</v>
      </c>
    </row>
    <row r="16" spans="1:11" x14ac:dyDescent="0.3">
      <c r="A16" s="1" t="s">
        <v>48</v>
      </c>
      <c r="B16" s="6">
        <f>AVERAGE([2]TrRoad_emi!$Q$48:$Q$49)</f>
        <v>2.8580726958886906</v>
      </c>
      <c r="C16" s="1" t="s">
        <v>62</v>
      </c>
      <c r="D16" s="28">
        <f>B16*1000/11630</f>
        <v>0.24575001684339559</v>
      </c>
      <c r="E16" s="1" t="s">
        <v>47</v>
      </c>
    </row>
    <row r="17" spans="1:5" x14ac:dyDescent="0.3">
      <c r="A17" s="1" t="s">
        <v>65</v>
      </c>
      <c r="B17" s="6">
        <v>0.38600000000000001</v>
      </c>
      <c r="C17" s="1" t="s">
        <v>47</v>
      </c>
      <c r="D17" s="2">
        <f>B17</f>
        <v>0.38600000000000001</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67.850496277915639</v>
      </c>
      <c r="C20" s="68" t="s">
        <v>59</v>
      </c>
      <c r="D20" s="3" t="s">
        <v>7</v>
      </c>
      <c r="E20" s="1"/>
    </row>
    <row r="21" spans="1:5" x14ac:dyDescent="0.3">
      <c r="A21" s="1" t="s">
        <v>51</v>
      </c>
      <c r="B21" s="6">
        <f>[2]TrRail_act!$Q$63</f>
        <v>101.13574378540999</v>
      </c>
      <c r="C21" s="69"/>
      <c r="D21" s="3" t="s">
        <v>7</v>
      </c>
      <c r="E21" s="1"/>
    </row>
    <row r="22" spans="1:5" x14ac:dyDescent="0.3">
      <c r="A22" s="1" t="s">
        <v>52</v>
      </c>
      <c r="B22" s="6">
        <f>[2]TrRail_act!$Q$66</f>
        <v>226.16832092638543</v>
      </c>
      <c r="C22" s="70"/>
      <c r="D22" s="3" t="s">
        <v>7</v>
      </c>
      <c r="E22" s="1"/>
    </row>
    <row r="23" spans="1:5" x14ac:dyDescent="0.3">
      <c r="A23" s="65" t="s">
        <v>53</v>
      </c>
      <c r="B23" s="66"/>
      <c r="C23" s="66"/>
      <c r="D23" s="66"/>
      <c r="E23" s="67"/>
    </row>
    <row r="24" spans="1:5" x14ac:dyDescent="0.3">
      <c r="A24" s="1" t="s">
        <v>50</v>
      </c>
      <c r="B24" s="6">
        <f>[2]TrRail_ene!$Q$31</f>
        <v>35.351283175341969</v>
      </c>
      <c r="C24" s="71" t="s">
        <v>60</v>
      </c>
      <c r="D24" s="2">
        <f>B24*11.63/100</f>
        <v>4.1113542332922712</v>
      </c>
      <c r="E24" s="71" t="s">
        <v>41</v>
      </c>
    </row>
    <row r="25" spans="1:5" x14ac:dyDescent="0.3">
      <c r="A25" s="1" t="s">
        <v>144</v>
      </c>
      <c r="B25" s="6">
        <f>[2]TrRail_ene!$Q$33</f>
        <v>187.03163000052177</v>
      </c>
      <c r="C25" s="72"/>
      <c r="D25" s="27">
        <f t="shared" ref="D25:D27" si="3">B25*11.63/100</f>
        <v>21.751778569060683</v>
      </c>
      <c r="E25" s="72"/>
    </row>
    <row r="26" spans="1:5" x14ac:dyDescent="0.3">
      <c r="A26" s="1" t="s">
        <v>51</v>
      </c>
      <c r="B26" s="6">
        <f>[2]TrRail_ene!$Q$34</f>
        <v>115.5249348607727</v>
      </c>
      <c r="C26" s="72"/>
      <c r="D26" s="27">
        <f t="shared" si="3"/>
        <v>13.435549924307866</v>
      </c>
      <c r="E26" s="72"/>
    </row>
    <row r="27" spans="1:5" x14ac:dyDescent="0.3">
      <c r="A27" s="1" t="s">
        <v>52</v>
      </c>
      <c r="B27" s="6">
        <f>[2]TrRail_ene!$Q$35</f>
        <v>216.47347412296102</v>
      </c>
      <c r="C27" s="73"/>
      <c r="D27" s="2">
        <f t="shared" si="3"/>
        <v>25.175865040500366</v>
      </c>
      <c r="E27" s="73"/>
    </row>
    <row r="28" spans="1:5" x14ac:dyDescent="0.3">
      <c r="A28" s="65" t="s">
        <v>63</v>
      </c>
      <c r="B28" s="66"/>
      <c r="C28" s="66"/>
      <c r="D28" s="66"/>
      <c r="E28" s="67"/>
    </row>
    <row r="29" spans="1:5" x14ac:dyDescent="0.3">
      <c r="A29" s="1" t="s">
        <v>65</v>
      </c>
      <c r="B29" s="26">
        <f>B17</f>
        <v>0.38600000000000001</v>
      </c>
      <c r="C29" s="1" t="s">
        <v>47</v>
      </c>
      <c r="D29" s="2">
        <f>B29</f>
        <v>0.38600000000000001</v>
      </c>
      <c r="E29" s="1" t="s">
        <v>47</v>
      </c>
    </row>
    <row r="30" spans="1:5" x14ac:dyDescent="0.3">
      <c r="A30" s="62" t="s">
        <v>54</v>
      </c>
      <c r="B30" s="63"/>
      <c r="C30" s="63"/>
      <c r="D30" s="63"/>
      <c r="E30" s="64"/>
    </row>
    <row r="31" spans="1:5" x14ac:dyDescent="0.3">
      <c r="A31" s="1" t="s">
        <v>68</v>
      </c>
      <c r="B31" s="6">
        <f>[2]TrAvia_act!$Q$69</f>
        <v>117.01874710632254</v>
      </c>
      <c r="C31" s="1" t="s">
        <v>67</v>
      </c>
      <c r="D31" s="3" t="s">
        <v>7</v>
      </c>
      <c r="E31" s="1"/>
    </row>
    <row r="32" spans="1:5" x14ac:dyDescent="0.3">
      <c r="A32" s="1" t="s">
        <v>72</v>
      </c>
      <c r="B32" s="6">
        <f>[2]TrAvia_ene!$Q$37</f>
        <v>2580.0882161490581</v>
      </c>
      <c r="C32" s="1" t="s">
        <v>69</v>
      </c>
      <c r="D32" s="28">
        <f>B32*11.63*10^(-3)/B31</f>
        <v>0.25642409182991754</v>
      </c>
      <c r="E32" s="1" t="s">
        <v>55</v>
      </c>
    </row>
    <row r="33" spans="1:5" x14ac:dyDescent="0.3">
      <c r="A33" s="1" t="s">
        <v>71</v>
      </c>
      <c r="B33" s="6">
        <f>[2]TrAvia_emi!$Q$41</f>
        <v>7764.9350840520765</v>
      </c>
      <c r="C33" s="1" t="s">
        <v>70</v>
      </c>
      <c r="D33" s="28">
        <f>B33/B31</f>
        <v>66.356334143595831</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zoomScale="70" zoomScaleNormal="70" workbookViewId="0">
      <selection activeCell="H8" sqref="H8"/>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0.38600000000000001</v>
      </c>
    </row>
    <row r="4" spans="1:8" x14ac:dyDescent="0.3">
      <c r="A4" t="s">
        <v>87</v>
      </c>
      <c r="B4">
        <f>'Passenger transport data'!D13</f>
        <v>5.7976801803456617</v>
      </c>
      <c r="C4">
        <f>Tabla4[[#This Row],[ENERGY CONSUMPTION PER VEHICLE]]*H7</f>
        <v>2.1502903257749306</v>
      </c>
      <c r="G4" t="s">
        <v>165</v>
      </c>
      <c r="H4">
        <f>BUS!C16</f>
        <v>0.2519346517626827</v>
      </c>
    </row>
    <row r="5" spans="1:8" x14ac:dyDescent="0.3">
      <c r="A5" t="s">
        <v>179</v>
      </c>
      <c r="B5">
        <f>B4</f>
        <v>5.7976801803456617</v>
      </c>
      <c r="C5">
        <f>Tabla4[[#This Row],[ENERGY CONSUMPTION PER VEHICLE]]*H3</f>
        <v>2.2379045496134253</v>
      </c>
      <c r="G5" t="s">
        <v>180</v>
      </c>
      <c r="H5">
        <f>'Passenger transport data'!D15</f>
        <v>0.26773043128047952</v>
      </c>
    </row>
    <row r="6" spans="1:8" x14ac:dyDescent="0.3">
      <c r="A6" t="s">
        <v>181</v>
      </c>
      <c r="B6">
        <f>B4</f>
        <v>5.7976801803456617</v>
      </c>
      <c r="C6">
        <f>Tabla4[[#This Row],[ENERGY CONSUMPTION PER VEHICLE]]*H4</f>
        <v>1.4606365372667918</v>
      </c>
      <c r="G6" t="s">
        <v>182</v>
      </c>
      <c r="H6">
        <f>BUS!E5</f>
        <v>0.22800000000000001</v>
      </c>
    </row>
    <row r="7" spans="1:8" x14ac:dyDescent="0.3">
      <c r="A7" t="s">
        <v>191</v>
      </c>
      <c r="B7">
        <f>B4</f>
        <v>5.7976801803456617</v>
      </c>
      <c r="C7">
        <f>Tabla4[[#This Row],[ENERGY CONSUMPTION PER VEHICLE]]*H8</f>
        <v>1.8492705434401087</v>
      </c>
      <c r="G7" t="s">
        <v>184</v>
      </c>
      <c r="H7">
        <f>BUS!E2</f>
        <v>0.37088805503009459</v>
      </c>
    </row>
    <row r="8" spans="1:8" x14ac:dyDescent="0.3">
      <c r="A8" t="s">
        <v>183</v>
      </c>
      <c r="B8">
        <f>B4</f>
        <v>5.7976801803456617</v>
      </c>
      <c r="C8">
        <f>Tabla4[[#This Row],[ENERGY CONSUMPTION PER VEHICLE]]*H6</f>
        <v>1.321871081118811</v>
      </c>
      <c r="G8" t="s">
        <v>192</v>
      </c>
      <c r="H8">
        <f>0.5*H3+0.5*H4</f>
        <v>0.31896732588134136</v>
      </c>
    </row>
    <row r="9" spans="1:8" x14ac:dyDescent="0.3">
      <c r="A9" t="s">
        <v>185</v>
      </c>
      <c r="B9">
        <f>'Passenger transport data'!D26</f>
        <v>13.435549924307866</v>
      </c>
      <c r="C9">
        <f>Tabla4[[#This Row],[ENERGY CONSUMPTION PER VEHICLE]]*H3</f>
        <v>5.1861222707828363</v>
      </c>
    </row>
    <row r="10" spans="1:8" x14ac:dyDescent="0.3">
      <c r="A10" t="s">
        <v>146</v>
      </c>
      <c r="B10">
        <f>'Passenger transport data'!D25</f>
        <v>21.751778569060683</v>
      </c>
      <c r="C10">
        <f>Tabla4[[#This Row],[ENERGY CONSUMPTION PER VEHICLE]]*H5</f>
        <v>5.8236130574121079</v>
      </c>
    </row>
    <row r="11" spans="1:8" x14ac:dyDescent="0.3">
      <c r="A11" t="s">
        <v>103</v>
      </c>
      <c r="B11">
        <f>'Passenger transport data'!D27</f>
        <v>25.175865040500366</v>
      </c>
      <c r="C11">
        <f>Tabla4[[#This Row],[ENERGY CONSUMPTION PER VEHICLE]]*H3</f>
        <v>9.7178839056331405</v>
      </c>
    </row>
    <row r="12" spans="1:8" x14ac:dyDescent="0.3">
      <c r="A12" t="s">
        <v>186</v>
      </c>
      <c r="B12">
        <f>'Passenger transport data'!D24</f>
        <v>4.1113542332922712</v>
      </c>
      <c r="C12">
        <f>Tabla4[[#This Row],[ENERGY CONSUMPTION PER VEHICLE]]*H3</f>
        <v>1.5869827340508167</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7.6122880756104738</v>
      </c>
      <c r="B17">
        <f>B4/Tabla5[[#This Row],[LEVEL OF OCCUPANCY]]</f>
        <v>0.76162122646425356</v>
      </c>
      <c r="C17">
        <f>C4/Tabla5[[#This Row],[LEVEL OF OCCUPANCY]]</f>
        <v>0.28247621535296225</v>
      </c>
    </row>
    <row r="18" spans="1:3" x14ac:dyDescent="0.3">
      <c r="A18" s="37">
        <f>'Passenger transport data'!I5</f>
        <v>23.938012816385136</v>
      </c>
      <c r="B18">
        <f>B4/Tabla5[[#This Row],[LEVEL OF OCCUPANCY]]</f>
        <v>0.24219555001563264</v>
      </c>
      <c r="C18">
        <f>C4/Tabla5[[#This Row],[LEVEL OF OCCUPANCY]]</f>
        <v>8.9827436482241993E-2</v>
      </c>
    </row>
    <row r="19" spans="1:3" x14ac:dyDescent="0.3">
      <c r="A19" s="37">
        <f>'Passenger transport data'!J5</f>
        <v>40.2637375571598</v>
      </c>
      <c r="B19">
        <f>B4/Tabla5[[#This Row],[LEVEL OF OCCUPANCY]]</f>
        <v>0.14399259810679704</v>
      </c>
      <c r="C19">
        <f>C4/Tabla5[[#This Row],[LEVEL OF OCCUPANCY]]</f>
        <v>5.3405134650560043E-2</v>
      </c>
    </row>
    <row r="20" spans="1:3" x14ac:dyDescent="0.3">
      <c r="A20" t="s">
        <v>179</v>
      </c>
    </row>
    <row r="21" spans="1:3" x14ac:dyDescent="0.3">
      <c r="A21" s="37">
        <f>A17</f>
        <v>7.6122880756104738</v>
      </c>
      <c r="B21">
        <f>B5/Tabla5[[#This Row],[LEVEL OF OCCUPANCY]]</f>
        <v>0.76162122646425356</v>
      </c>
      <c r="C21">
        <f>C5/Tabla5[[#This Row],[LEVEL OF OCCUPANCY]]</f>
        <v>0.29398579341520187</v>
      </c>
    </row>
    <row r="22" spans="1:3" x14ac:dyDescent="0.3">
      <c r="A22" s="37">
        <f>A18</f>
        <v>23.938012816385136</v>
      </c>
      <c r="B22">
        <f>B5/Tabla5[[#This Row],[LEVEL OF OCCUPANCY]]</f>
        <v>0.24219555001563264</v>
      </c>
      <c r="C22">
        <f>C5/Tabla5[[#This Row],[LEVEL OF OCCUPANCY]]</f>
        <v>9.3487482306034195E-2</v>
      </c>
    </row>
    <row r="23" spans="1:3" x14ac:dyDescent="0.3">
      <c r="A23" s="37">
        <f>A19</f>
        <v>40.2637375571598</v>
      </c>
      <c r="B23">
        <f>B5/Tabla5[[#This Row],[LEVEL OF OCCUPANCY]]</f>
        <v>0.14399259810679704</v>
      </c>
      <c r="C23">
        <f>C5/Tabla5[[#This Row],[LEVEL OF OCCUPANCY]]</f>
        <v>5.5581142869223658E-2</v>
      </c>
    </row>
    <row r="24" spans="1:3" x14ac:dyDescent="0.3">
      <c r="A24" t="s">
        <v>181</v>
      </c>
    </row>
    <row r="25" spans="1:3" x14ac:dyDescent="0.3">
      <c r="A25" s="37">
        <f>A17</f>
        <v>7.6122880756104738</v>
      </c>
      <c r="B25">
        <f>B6/Tabla5[[#This Row],[LEVEL OF OCCUPANCY]]</f>
        <v>0.76162122646425356</v>
      </c>
      <c r="C25">
        <f>C6/Tabla5[[#This Row],[LEVEL OF OCCUPANCY]]</f>
        <v>0.19187877846433904</v>
      </c>
    </row>
    <row r="26" spans="1:3" x14ac:dyDescent="0.3">
      <c r="A26" s="37">
        <f>A18</f>
        <v>23.938012816385136</v>
      </c>
      <c r="B26">
        <f>B6/Tabla5[[#This Row],[LEVEL OF OCCUPANCY]]</f>
        <v>0.24219555001563264</v>
      </c>
      <c r="C26">
        <f>C6/Tabla5[[#This Row],[LEVEL OF OCCUPANCY]]</f>
        <v>6.1017451551659815E-2</v>
      </c>
    </row>
    <row r="27" spans="1:3" x14ac:dyDescent="0.3">
      <c r="A27" s="37">
        <f>A19</f>
        <v>40.2637375571598</v>
      </c>
      <c r="B27">
        <f>B6/Tabla5[[#This Row],[LEVEL OF OCCUPANCY]]</f>
        <v>0.14399259810679704</v>
      </c>
      <c r="C27">
        <f>C6/Tabla5[[#This Row],[LEVEL OF OCCUPANCY]]</f>
        <v>3.6276725060439843E-2</v>
      </c>
    </row>
    <row r="28" spans="1:3" x14ac:dyDescent="0.3">
      <c r="A28" s="37" t="s">
        <v>183</v>
      </c>
    </row>
    <row r="29" spans="1:3" x14ac:dyDescent="0.3">
      <c r="A29" s="37">
        <f>A17</f>
        <v>7.6122880756104738</v>
      </c>
      <c r="B29">
        <f>B8/Tabla5[[#This Row],[LEVEL OF OCCUPANCY]]</f>
        <v>0.76162122646425356</v>
      </c>
      <c r="C29">
        <f>C8/Tabla5[[#This Row],[LEVEL OF OCCUPANCY]]</f>
        <v>0.17364963963384983</v>
      </c>
    </row>
    <row r="30" spans="1:3" x14ac:dyDescent="0.3">
      <c r="A30" s="37">
        <f>A18</f>
        <v>23.938012816385136</v>
      </c>
      <c r="B30">
        <f>B8/Tabla5[[#This Row],[LEVEL OF OCCUPANCY]]</f>
        <v>0.24219555001563264</v>
      </c>
      <c r="C30">
        <f>C8/Tabla5[[#This Row],[LEVEL OF OCCUPANCY]]</f>
        <v>5.5220585403564254E-2</v>
      </c>
    </row>
    <row r="31" spans="1:3" x14ac:dyDescent="0.3">
      <c r="A31" s="37">
        <f>A19</f>
        <v>40.2637375571598</v>
      </c>
      <c r="B31">
        <f>B8/Tabla5[[#This Row],[LEVEL OF OCCUPANCY]]</f>
        <v>0.14399259810679704</v>
      </c>
      <c r="C31">
        <f>C8/Tabla5[[#This Row],[LEVEL OF OCCUPANCY]]</f>
        <v>3.2830312368349733E-2</v>
      </c>
    </row>
    <row r="32" spans="1:3" x14ac:dyDescent="0.3">
      <c r="A32" s="37" t="s">
        <v>191</v>
      </c>
    </row>
    <row r="33" spans="1:3" x14ac:dyDescent="0.3">
      <c r="A33" s="37">
        <f>A17</f>
        <v>7.6122880756104738</v>
      </c>
      <c r="B33">
        <f>B7/Tabla5[[#This Row],[LEVEL OF OCCUPANCY]]</f>
        <v>0.76162122646425356</v>
      </c>
      <c r="C33">
        <f>C7/Tabla5[[#This Row],[LEVEL OF OCCUPANCY]]</f>
        <v>0.24293228593977045</v>
      </c>
    </row>
    <row r="34" spans="1:3" x14ac:dyDescent="0.3">
      <c r="A34" s="37">
        <f>A18</f>
        <v>23.938012816385136</v>
      </c>
      <c r="B34">
        <f>B7/Tabla5[[#This Row],[LEVEL OF OCCUPANCY]]</f>
        <v>0.24219555001563264</v>
      </c>
      <c r="C34">
        <f>C7/Tabla5[[#This Row],[LEVEL OF OCCUPANCY]]</f>
        <v>7.7252466928847019E-2</v>
      </c>
    </row>
    <row r="35" spans="1:3" x14ac:dyDescent="0.3">
      <c r="A35" s="37">
        <f>A19</f>
        <v>40.2637375571598</v>
      </c>
      <c r="B35">
        <f>B7/Tabla5[[#This Row],[LEVEL OF OCCUPANCY]]</f>
        <v>0.14399259810679704</v>
      </c>
      <c r="C35">
        <f>C7/Tabla5[[#This Row],[LEVEL OF OCCUPANCY]]</f>
        <v>4.5928933964831754E-2</v>
      </c>
    </row>
    <row r="36" spans="1:3" x14ac:dyDescent="0.3">
      <c r="A36" t="s">
        <v>185</v>
      </c>
    </row>
    <row r="37" spans="1:3" x14ac:dyDescent="0.3">
      <c r="A37" s="37">
        <f>'Passenger transport data'!H7</f>
        <v>32.161166523760379</v>
      </c>
      <c r="B37">
        <f>B9/Tabla5[[#This Row],[LEVEL OF OCCUPANCY]]</f>
        <v>0.41775692167079209</v>
      </c>
      <c r="C37">
        <f>C9/Tabla5[[#This Row],[LEVEL OF OCCUPANCY]]</f>
        <v>0.16125417176492576</v>
      </c>
    </row>
    <row r="38" spans="1:3" x14ac:dyDescent="0.3">
      <c r="A38" s="37">
        <f>'Passenger transport data'!I7</f>
        <v>101.13574378540999</v>
      </c>
      <c r="B38">
        <f>B9/Tabla5[[#This Row],[LEVEL OF OCCUPANCY]]</f>
        <v>0.13284670109131191</v>
      </c>
      <c r="C38">
        <f>C9/Tabla5[[#This Row],[LEVEL OF OCCUPANCY]]</f>
        <v>5.1278826621246394E-2</v>
      </c>
    </row>
    <row r="39" spans="1:3" x14ac:dyDescent="0.3">
      <c r="A39" s="37">
        <f>'Passenger transport data'!J7</f>
        <v>170.11032104705959</v>
      </c>
      <c r="B39">
        <f>B9/Tabla5[[#This Row],[LEVEL OF OCCUPANCY]]</f>
        <v>7.8981391849769267E-2</v>
      </c>
      <c r="C39">
        <f>C9/Tabla5[[#This Row],[LEVEL OF OCCUPANCY]]</f>
        <v>3.048681725401094E-2</v>
      </c>
    </row>
    <row r="40" spans="1:3" x14ac:dyDescent="0.3">
      <c r="A40" t="s">
        <v>146</v>
      </c>
    </row>
    <row r="41" spans="1:3" x14ac:dyDescent="0.3">
      <c r="A41" s="37">
        <f>A37</f>
        <v>32.161166523760379</v>
      </c>
      <c r="B41">
        <f>B10/Tabla5[[#This Row],[LEVEL OF OCCUPANCY]]</f>
        <v>0.67633674148575007</v>
      </c>
      <c r="C41">
        <f>C10/Tabla5[[#This Row],[LEVEL OF OCCUPANCY]]</f>
        <v>0.18107592748881404</v>
      </c>
    </row>
    <row r="42" spans="1:3" x14ac:dyDescent="0.3">
      <c r="A42" s="37">
        <f>A38</f>
        <v>101.13574378540999</v>
      </c>
      <c r="B42">
        <f>B10/Tabla5[[#This Row],[LEVEL OF OCCUPANCY]]</f>
        <v>0.21507508379246854</v>
      </c>
      <c r="C42">
        <f>C10/Tabla5[[#This Row],[LEVEL OF OCCUPANCY]]</f>
        <v>5.758214494144287E-2</v>
      </c>
    </row>
    <row r="43" spans="1:3" x14ac:dyDescent="0.3">
      <c r="A43" s="37">
        <f>A39</f>
        <v>170.11032104705959</v>
      </c>
      <c r="B43">
        <f>B10/Tabla5[[#This Row],[LEVEL OF OCCUPANCY]]</f>
        <v>0.12786865861621199</v>
      </c>
      <c r="C43">
        <f>C10/Tabla5[[#This Row],[LEVEL OF OCCUPANCY]]</f>
        <v>3.4234331118574837E-2</v>
      </c>
    </row>
    <row r="44" spans="1:3" x14ac:dyDescent="0.3">
      <c r="A44" s="37" t="s">
        <v>103</v>
      </c>
    </row>
    <row r="45" spans="1:3" x14ac:dyDescent="0.3">
      <c r="A45" s="37">
        <f>'Passenger transport data'!H8</f>
        <v>71.921526054590572</v>
      </c>
      <c r="B45">
        <f>B11/Tabla5[[#This Row],[LEVEL OF OCCUPANCY]]</f>
        <v>0.35004631327470914</v>
      </c>
      <c r="C45">
        <f>C11/Tabla5[[#This Row],[LEVEL OF OCCUPANCY]]</f>
        <v>0.13511787692403771</v>
      </c>
    </row>
    <row r="46" spans="1:3" x14ac:dyDescent="0.3">
      <c r="A46" s="37">
        <f>'Passenger transport data'!I8</f>
        <v>226.16832092638543</v>
      </c>
      <c r="B46">
        <f>B11/Tabla5[[#This Row],[LEVEL OF OCCUPANCY]]</f>
        <v>0.11131472762135751</v>
      </c>
      <c r="C46">
        <f>C11/Tabla5[[#This Row],[LEVEL OF OCCUPANCY]]</f>
        <v>4.2967484861843992E-2</v>
      </c>
    </row>
    <row r="47" spans="1:3" x14ac:dyDescent="0.3">
      <c r="A47" s="37">
        <f>'Passenger transport data'!J8</f>
        <v>380.4151157981803</v>
      </c>
      <c r="B47">
        <f>B11/Tabla5[[#This Row],[LEVEL OF OCCUPANCY]]</f>
        <v>6.6179980749915282E-2</v>
      </c>
      <c r="C47">
        <f>C11/Tabla5[[#This Row],[LEVEL OF OCCUPANCY]]</f>
        <v>2.5545472569467299E-2</v>
      </c>
    </row>
    <row r="48" spans="1:3" x14ac:dyDescent="0.3">
      <c r="A48" t="s">
        <v>186</v>
      </c>
    </row>
    <row r="49" spans="1:3" x14ac:dyDescent="0.3">
      <c r="A49" s="37">
        <f>'Passenger transport data'!H6</f>
        <v>21.576457816377175</v>
      </c>
      <c r="B49">
        <f>B12/Tabla5[[#This Row],[LEVEL OF OCCUPANCY]]</f>
        <v>0.19054815522924393</v>
      </c>
      <c r="C49">
        <f>C12/Tabla5[[#This Row],[LEVEL OF OCCUPANCY]]</f>
        <v>7.3551587918488148E-2</v>
      </c>
    </row>
    <row r="50" spans="1:3" x14ac:dyDescent="0.3">
      <c r="A50" s="37">
        <f>'Passenger transport data'!I6</f>
        <v>67.850496277915639</v>
      </c>
      <c r="B50">
        <f>B12/Tabla5[[#This Row],[LEVEL OF OCCUPANCY]]</f>
        <v>6.0594313362899568E-2</v>
      </c>
      <c r="C50">
        <f>C12/Tabla5[[#This Row],[LEVEL OF OCCUPANCY]]</f>
        <v>2.3389404958079233E-2</v>
      </c>
    </row>
    <row r="51" spans="1:3" x14ac:dyDescent="0.3">
      <c r="A51" s="37">
        <f>'Passenger transport data'!J6</f>
        <v>114.12453473945411</v>
      </c>
      <c r="B51">
        <f>B12/Tabla5[[#This Row],[LEVEL OF OCCUPANCY]]</f>
        <v>3.6025156577229232E-2</v>
      </c>
      <c r="C51">
        <f>C12/Tabla5[[#This Row],[LEVEL OF OCCUPANCY]]</f>
        <v>1.3905710438810484E-2</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6" sqref="C6"/>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0.2</v>
      </c>
      <c r="E2">
        <f>(Tabla1[[#This Row],[% fuel used for buses]]*C10+C3*((C11+C10)/2)+C4*((C12+C13+C14)/3)+C5*C15+C6*C16)/100</f>
        <v>0.37088805503009459</v>
      </c>
      <c r="F2" t="s">
        <v>47</v>
      </c>
    </row>
    <row r="3" spans="2:6" x14ac:dyDescent="0.3">
      <c r="B3" t="s">
        <v>161</v>
      </c>
      <c r="C3">
        <v>0.4</v>
      </c>
    </row>
    <row r="4" spans="2:6" x14ac:dyDescent="0.3">
      <c r="B4" t="s">
        <v>162</v>
      </c>
      <c r="C4">
        <v>7.4</v>
      </c>
      <c r="E4" t="s">
        <v>163</v>
      </c>
    </row>
    <row r="5" spans="2:6" x14ac:dyDescent="0.3">
      <c r="B5" t="s">
        <v>164</v>
      </c>
      <c r="C5">
        <v>91.9</v>
      </c>
      <c r="E5">
        <f>(C12+C13+C14)/3</f>
        <v>0.22800000000000001</v>
      </c>
      <c r="F5" t="s">
        <v>47</v>
      </c>
    </row>
    <row r="6" spans="2:6" x14ac:dyDescent="0.3">
      <c r="B6" t="s">
        <v>165</v>
      </c>
      <c r="C6">
        <v>52.2</v>
      </c>
    </row>
    <row r="9" spans="2:6" x14ac:dyDescent="0.3">
      <c r="B9" t="s">
        <v>166</v>
      </c>
      <c r="C9" t="s">
        <v>167</v>
      </c>
    </row>
    <row r="10" spans="2:6" x14ac:dyDescent="0.3">
      <c r="B10" t="s">
        <v>168</v>
      </c>
      <c r="C10">
        <f>'Passenger transport data'!D17</f>
        <v>0.38600000000000001</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2.79*1000/11630</f>
        <v>0.23989681857265693</v>
      </c>
    </row>
    <row r="16" spans="2:6" x14ac:dyDescent="0.3">
      <c r="B16" t="s">
        <v>165</v>
      </c>
      <c r="C16">
        <f>2.93*1000/11630</f>
        <v>0.2519346517626827</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239.89681857265694</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245.7500168433956</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251.93465176268271</v>
      </c>
      <c r="D8" s="22" t="s">
        <v>108</v>
      </c>
      <c r="E8" s="22" t="s">
        <v>147</v>
      </c>
      <c r="F8" s="22">
        <f>BUS!C16*1000</f>
        <v>251.93465176268271</v>
      </c>
      <c r="G8" s="22" t="s">
        <v>108</v>
      </c>
      <c r="H8" s="21" t="s">
        <v>131</v>
      </c>
      <c r="I8" s="22">
        <f>BUS!C10*1000</f>
        <v>386</v>
      </c>
      <c r="J8" s="22" t="s">
        <v>108</v>
      </c>
      <c r="K8" s="43">
        <f>BUS!E2*1000</f>
        <v>370.88805503009456</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5.7976801803456617</v>
      </c>
      <c r="G11" s="82"/>
      <c r="H11" s="30">
        <f>F11/A11</f>
        <v>5.7976801803456617</v>
      </c>
      <c r="I11" s="1">
        <v>0</v>
      </c>
      <c r="J11" s="1">
        <f>I$8*F11</f>
        <v>2237.9045496134254</v>
      </c>
      <c r="K11" s="30">
        <f>J11/A11</f>
        <v>2237.9045496134254</v>
      </c>
    </row>
    <row r="12" spans="1:13" x14ac:dyDescent="0.3">
      <c r="A12" s="18">
        <f>'Passenger transport data'!H5</f>
        <v>7.6122880756104738</v>
      </c>
      <c r="B12" s="1">
        <f>C$7*A12</f>
        <v>608.98304604883788</v>
      </c>
      <c r="C12" s="82">
        <f>I$4*B12/100</f>
        <v>5.1763558914151221E-2</v>
      </c>
      <c r="D12" s="82"/>
      <c r="E12" s="82"/>
      <c r="F12" s="82">
        <f>F$11+C12</f>
        <v>5.8494437392598133</v>
      </c>
      <c r="G12" s="82"/>
      <c r="H12" s="27">
        <f t="shared" ref="H12:H14" si="0">F12/A12</f>
        <v>0.76842122646425359</v>
      </c>
      <c r="I12" s="1">
        <f>I$6*B12</f>
        <v>17.051525289367458</v>
      </c>
      <c r="J12" s="1">
        <f>F12*(I12+J$11)</f>
        <v>13190.238694646025</v>
      </c>
      <c r="K12" s="27">
        <f>J12/A12</f>
        <v>1732.7561126998235</v>
      </c>
    </row>
    <row r="13" spans="1:13" x14ac:dyDescent="0.3">
      <c r="A13" s="18">
        <f>'Passenger transport data'!I5</f>
        <v>23.938012816385136</v>
      </c>
      <c r="B13" s="1">
        <f t="shared" ref="B13:B14" si="1">C$7*A13</f>
        <v>1915.0410253108109</v>
      </c>
      <c r="C13" s="82">
        <f t="shared" ref="C13:C14" si="2">I$4*B13/100</f>
        <v>0.16277848715141893</v>
      </c>
      <c r="D13" s="82"/>
      <c r="E13" s="82"/>
      <c r="F13" s="82">
        <f t="shared" ref="F13:F14" si="3">F$11+C13</f>
        <v>5.9604586674970808</v>
      </c>
      <c r="G13" s="82"/>
      <c r="H13" s="27">
        <f t="shared" si="0"/>
        <v>0.24899555001563267</v>
      </c>
      <c r="I13" s="1">
        <f t="shared" ref="I13:I14" si="4">I$6*B13</f>
        <v>53.621148708702698</v>
      </c>
      <c r="J13" s="1">
        <f>F13*(I13+J$11)</f>
        <v>13658.544210356427</v>
      </c>
      <c r="K13" s="27">
        <f>J13/A13</f>
        <v>570.57970162867491</v>
      </c>
    </row>
    <row r="14" spans="1:13" x14ac:dyDescent="0.3">
      <c r="A14" s="18">
        <f>'Passenger transport data'!J5</f>
        <v>40.2637375571598</v>
      </c>
      <c r="B14" s="1">
        <f t="shared" si="1"/>
        <v>3221.099004572784</v>
      </c>
      <c r="C14" s="82">
        <f t="shared" si="2"/>
        <v>0.27379341538868668</v>
      </c>
      <c r="D14" s="82"/>
      <c r="E14" s="82"/>
      <c r="F14" s="82">
        <f t="shared" si="3"/>
        <v>6.0714735957343482</v>
      </c>
      <c r="G14" s="82"/>
      <c r="H14" s="27">
        <f t="shared" si="0"/>
        <v>0.15079259810679704</v>
      </c>
      <c r="I14" s="1">
        <f t="shared" si="4"/>
        <v>90.190772128037949</v>
      </c>
      <c r="J14" s="1">
        <f>F14*(I14+J$11)</f>
        <v>14134.969274305959</v>
      </c>
      <c r="K14" s="27">
        <f>J14/A14</f>
        <v>351.05954220567492</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5.7976801803456617</v>
      </c>
      <c r="G16" s="82"/>
      <c r="H16" s="30">
        <f>F16/A16</f>
        <v>5.7976801803456617</v>
      </c>
      <c r="I16" s="1">
        <v>0</v>
      </c>
      <c r="J16" s="1">
        <f>F16*(0.5*C$8+0.5*I$8)</f>
        <v>1849.2705434401087</v>
      </c>
      <c r="K16" s="30">
        <f>J16/A16</f>
        <v>1849.2705434401087</v>
      </c>
    </row>
    <row r="17" spans="1:11" x14ac:dyDescent="0.3">
      <c r="A17" s="18">
        <f>'Passenger transport data'!H5</f>
        <v>7.6122880756104738</v>
      </c>
      <c r="B17" s="1">
        <f>C$7*A17</f>
        <v>608.98304604883788</v>
      </c>
      <c r="C17" s="76">
        <f>B17*(0.5*I$4+0.5*C$5)/100</f>
        <v>0.14767838866684319</v>
      </c>
      <c r="D17" s="77"/>
      <c r="E17" s="78"/>
      <c r="F17" s="76">
        <f>F$16+C17</f>
        <v>5.9453585690125053</v>
      </c>
      <c r="G17" s="78"/>
      <c r="H17" s="27">
        <f>F17/A17</f>
        <v>0.78102122646425365</v>
      </c>
      <c r="I17" s="1">
        <f>B17*(0.5*C$6+0.5*I$6)/100</f>
        <v>0.38974914947125627</v>
      </c>
      <c r="J17" s="1">
        <f>F17*(I17+J$16)</f>
        <v>10996.893670309637</v>
      </c>
      <c r="K17" s="27">
        <f>J17/A17</f>
        <v>1444.623950260544</v>
      </c>
    </row>
    <row r="18" spans="1:11" x14ac:dyDescent="0.3">
      <c r="A18" s="18">
        <f>'Passenger transport data'!I5</f>
        <v>23.938012816385136</v>
      </c>
      <c r="B18" s="1">
        <f t="shared" ref="B18:B19" si="5">C$7*A18</f>
        <v>1915.0410253108109</v>
      </c>
      <c r="C18" s="76">
        <f t="shared" ref="C18:C19" si="6">B18*(0.5*I$4+0.5*C$5)/100</f>
        <v>0.46439744863787169</v>
      </c>
      <c r="D18" s="77"/>
      <c r="E18" s="78"/>
      <c r="F18" s="76">
        <f t="shared" ref="F18:F19" si="7">F$16+C18</f>
        <v>6.2620776289835334</v>
      </c>
      <c r="G18" s="78"/>
      <c r="H18" s="27">
        <f t="shared" ref="H18:H19" si="8">F18/A18</f>
        <v>0.26159555001563267</v>
      </c>
      <c r="I18" s="1">
        <f t="shared" ref="I18:I19" si="9">B18*(0.5*C$6+0.5*I$6)/100</f>
        <v>1.2256262561989191</v>
      </c>
      <c r="J18" s="1">
        <f t="shared" ref="J18:J19" si="10">F18*(I18+J$16)</f>
        <v>11587.950666774965</v>
      </c>
      <c r="K18" s="27">
        <f t="shared" ref="K18:K19" si="11">J18/A18</f>
        <v>484.08156331352711</v>
      </c>
    </row>
    <row r="19" spans="1:11" x14ac:dyDescent="0.3">
      <c r="A19" s="18">
        <f>'Passenger transport data'!J5</f>
        <v>40.2637375571598</v>
      </c>
      <c r="B19" s="1">
        <f t="shared" si="5"/>
        <v>3221.099004572784</v>
      </c>
      <c r="C19" s="76">
        <f t="shared" si="6"/>
        <v>0.78111650860890014</v>
      </c>
      <c r="D19" s="77"/>
      <c r="E19" s="78"/>
      <c r="F19" s="76">
        <f t="shared" si="7"/>
        <v>6.5787966889545615</v>
      </c>
      <c r="G19" s="78"/>
      <c r="H19" s="27">
        <f t="shared" si="8"/>
        <v>0.16339259810679704</v>
      </c>
      <c r="I19" s="1">
        <f t="shared" si="9"/>
        <v>2.0615033629265818</v>
      </c>
      <c r="J19" s="1">
        <f t="shared" si="10"/>
        <v>12179.537139663278</v>
      </c>
      <c r="K19" s="27">
        <f t="shared" si="11"/>
        <v>302.49395308552226</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5.7976801803456617</v>
      </c>
      <c r="G21" s="82"/>
      <c r="H21" s="30">
        <f>F21/A21</f>
        <v>5.7976801803456617</v>
      </c>
      <c r="I21" s="1">
        <v>0</v>
      </c>
      <c r="J21" s="1">
        <f>F21*K$6</f>
        <v>1321.8710811188109</v>
      </c>
      <c r="K21" s="30">
        <f>J21/A21</f>
        <v>1321.8710811188109</v>
      </c>
    </row>
    <row r="22" spans="1:11" x14ac:dyDescent="0.3">
      <c r="A22" s="18">
        <f>'Passenger transport data'!H5</f>
        <v>7.6122880756104738</v>
      </c>
      <c r="B22" s="1">
        <f>C$7*A22</f>
        <v>608.98304604883788</v>
      </c>
      <c r="C22" s="76">
        <f>B22*C$5/100</f>
        <v>0.24359321841953516</v>
      </c>
      <c r="D22" s="77"/>
      <c r="E22" s="78"/>
      <c r="F22" s="79">
        <f>F$21+C22</f>
        <v>6.0412733987651972</v>
      </c>
      <c r="G22" s="80"/>
      <c r="H22" s="27">
        <f t="shared" ref="H22:H24" si="12">F22/A22</f>
        <v>0.79362122646425359</v>
      </c>
      <c r="I22" s="1">
        <f>C$6*B22</f>
        <v>60.898304604883791</v>
      </c>
      <c r="J22" s="1">
        <f>F22*(I22+J$21)</f>
        <v>8353.687906599449</v>
      </c>
      <c r="K22" s="27">
        <f t="shared" ref="K22:K24" si="13">J22/A22</f>
        <v>1097.3951358152613</v>
      </c>
    </row>
    <row r="23" spans="1:11" x14ac:dyDescent="0.3">
      <c r="A23" s="18">
        <f>'Passenger transport data'!I5</f>
        <v>23.938012816385136</v>
      </c>
      <c r="B23" s="1">
        <f t="shared" ref="B23:B24" si="14">C$7*A23</f>
        <v>1915.0410253108109</v>
      </c>
      <c r="C23" s="76">
        <f t="shared" ref="C23:C24" si="15">B23*C$5/100</f>
        <v>0.76601641012432442</v>
      </c>
      <c r="D23" s="77"/>
      <c r="E23" s="78"/>
      <c r="F23" s="76">
        <f>F$21+C23</f>
        <v>6.563696590469986</v>
      </c>
      <c r="G23" s="78"/>
      <c r="H23" s="27">
        <f t="shared" si="12"/>
        <v>0.27419555001563267</v>
      </c>
      <c r="I23" s="1">
        <f t="shared" ref="I23:I24" si="16">C$6*B23</f>
        <v>191.50410253108112</v>
      </c>
      <c r="J23" s="1">
        <f t="shared" ref="J23:J24" si="17">F23*(I23+J$21)</f>
        <v>9933.335533024685</v>
      </c>
      <c r="K23" s="27">
        <f t="shared" si="13"/>
        <v>414.96074086089124</v>
      </c>
    </row>
    <row r="24" spans="1:11" x14ac:dyDescent="0.3">
      <c r="A24" s="18">
        <f>'Passenger transport data'!J5</f>
        <v>40.2637375571598</v>
      </c>
      <c r="B24" s="1">
        <f t="shared" si="14"/>
        <v>3221.099004572784</v>
      </c>
      <c r="C24" s="76">
        <f t="shared" si="15"/>
        <v>1.2884396018291135</v>
      </c>
      <c r="D24" s="77"/>
      <c r="E24" s="78"/>
      <c r="F24" s="76">
        <f t="shared" ref="F24" si="18">F$21+C24</f>
        <v>7.0861197821747748</v>
      </c>
      <c r="G24" s="78"/>
      <c r="H24" s="27">
        <f t="shared" si="12"/>
        <v>0.17599259810679704</v>
      </c>
      <c r="I24" s="1">
        <f t="shared" si="16"/>
        <v>322.1099004572784</v>
      </c>
      <c r="J24" s="1">
        <f t="shared" si="17"/>
        <v>11649.446155065431</v>
      </c>
      <c r="K24" s="27">
        <f t="shared" si="13"/>
        <v>289.32848418573838</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5.7976801803456617</v>
      </c>
      <c r="G26" s="82"/>
      <c r="H26" s="30">
        <f>F26/A26</f>
        <v>5.7976801803456617</v>
      </c>
      <c r="I26" s="1">
        <v>0</v>
      </c>
      <c r="J26" s="1">
        <f>C$8*F26</f>
        <v>1460.6365372667917</v>
      </c>
      <c r="K26" s="30">
        <f>J26/A26</f>
        <v>1460.6365372667917</v>
      </c>
    </row>
    <row r="27" spans="1:11" x14ac:dyDescent="0.3">
      <c r="A27" s="18">
        <f>'Passenger transport data'!H5</f>
        <v>7.6122880756104738</v>
      </c>
      <c r="B27" s="1">
        <f>C$7*A27</f>
        <v>608.98304604883788</v>
      </c>
      <c r="C27" s="76">
        <f>B27*C$5/100</f>
        <v>0.24359321841953516</v>
      </c>
      <c r="D27" s="77"/>
      <c r="E27" s="78"/>
      <c r="F27" s="79">
        <f>F$26+C27</f>
        <v>6.0412733987651972</v>
      </c>
      <c r="G27" s="80"/>
      <c r="H27" s="27">
        <f>F27/A27</f>
        <v>0.79362122646425359</v>
      </c>
      <c r="I27" s="1">
        <f>C$6*B27</f>
        <v>60.898304604883791</v>
      </c>
      <c r="J27" s="1">
        <f>F27*(I27+J$26)</f>
        <v>9192.0079654937635</v>
      </c>
      <c r="K27" s="27">
        <f>J27/A27</f>
        <v>1207.5223473142933</v>
      </c>
    </row>
    <row r="28" spans="1:11" x14ac:dyDescent="0.3">
      <c r="A28" s="18">
        <f>'Passenger transport data'!I5</f>
        <v>23.938012816385136</v>
      </c>
      <c r="B28" s="1">
        <f t="shared" ref="B28:B29" si="19">C$7*A28</f>
        <v>1915.0410253108109</v>
      </c>
      <c r="C28" s="76">
        <f t="shared" ref="C28:C29" si="20">B28*C$5/100</f>
        <v>0.76601641012432442</v>
      </c>
      <c r="D28" s="77"/>
      <c r="E28" s="78"/>
      <c r="F28" s="79">
        <f t="shared" ref="F28:F29" si="21">F$26+C28</f>
        <v>6.563696590469986</v>
      </c>
      <c r="G28" s="80"/>
      <c r="H28" s="27">
        <f t="shared" ref="H28:H29" si="22">F28/A28</f>
        <v>0.27419555001563267</v>
      </c>
      <c r="I28" s="1">
        <f t="shared" ref="I28:I29" si="23">C$6*B28</f>
        <v>191.50410253108112</v>
      </c>
      <c r="J28" s="1">
        <f t="shared" ref="J28:J29" si="24">F28*(I28+J$26)</f>
        <v>10844.149884418199</v>
      </c>
      <c r="K28" s="27">
        <f t="shared" ref="K28:K29" si="25">J28/A28</f>
        <v>453.00961143255694</v>
      </c>
    </row>
    <row r="29" spans="1:11" x14ac:dyDescent="0.3">
      <c r="A29" s="18">
        <f>'Passenger transport data'!J5</f>
        <v>40.2637375571598</v>
      </c>
      <c r="B29" s="1">
        <f t="shared" si="19"/>
        <v>3221.099004572784</v>
      </c>
      <c r="C29" s="76">
        <f t="shared" si="20"/>
        <v>1.2884396018291135</v>
      </c>
      <c r="D29" s="77"/>
      <c r="E29" s="78"/>
      <c r="F29" s="79">
        <f t="shared" si="21"/>
        <v>7.0861197821747748</v>
      </c>
      <c r="G29" s="80"/>
      <c r="H29" s="27">
        <f t="shared" si="22"/>
        <v>0.17599259810679704</v>
      </c>
      <c r="I29" s="1">
        <f t="shared" si="23"/>
        <v>322.1099004572784</v>
      </c>
      <c r="J29" s="1">
        <f t="shared" si="24"/>
        <v>12632.754798958144</v>
      </c>
      <c r="K29" s="27">
        <f t="shared" si="25"/>
        <v>313.75017734069638</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5.7976801803456617</v>
      </c>
      <c r="G31" s="82"/>
      <c r="H31" s="30">
        <f>F31/A31</f>
        <v>5.7976801803456617</v>
      </c>
      <c r="I31" s="1">
        <v>0</v>
      </c>
      <c r="J31" s="1">
        <f>K$8*F31</f>
        <v>2150.2903257749304</v>
      </c>
      <c r="K31" s="30">
        <f>J31/A31</f>
        <v>2150.2903257749304</v>
      </c>
    </row>
    <row r="32" spans="1:11" x14ac:dyDescent="0.3">
      <c r="A32" s="18">
        <f>'Passenger transport data'!H5</f>
        <v>7.6122880756104738</v>
      </c>
      <c r="B32" s="1">
        <f>C$7*A32</f>
        <v>608.98304604883788</v>
      </c>
      <c r="C32" s="76">
        <f>B32*C$5/100</f>
        <v>0.24359321841953516</v>
      </c>
      <c r="D32" s="77"/>
      <c r="E32" s="78"/>
      <c r="F32" s="79">
        <f>F$31+C32</f>
        <v>6.0412733987651972</v>
      </c>
      <c r="G32" s="80"/>
      <c r="H32" s="27">
        <f>F32/A32</f>
        <v>0.79362122646425359</v>
      </c>
      <c r="I32" s="1">
        <f>C$6*B32</f>
        <v>60.898304604883791</v>
      </c>
      <c r="J32" s="1">
        <f>F32*(I32+J$31)</f>
        <v>13358.395052365622</v>
      </c>
      <c r="K32" s="27">
        <f t="shared" ref="K32:K34" si="26">J32/A32</f>
        <v>1754.8462327858415</v>
      </c>
    </row>
    <row r="33" spans="1:11" x14ac:dyDescent="0.3">
      <c r="A33" s="18">
        <f>'Passenger transport data'!I5</f>
        <v>23.938012816385136</v>
      </c>
      <c r="B33" s="1">
        <f t="shared" ref="B33:B34" si="27">C$7*A33</f>
        <v>1915.0410253108109</v>
      </c>
      <c r="C33" s="76">
        <f t="shared" ref="C33:C34" si="28">B33*C$5/100</f>
        <v>0.76601641012432442</v>
      </c>
      <c r="D33" s="77"/>
      <c r="E33" s="78"/>
      <c r="F33" s="79">
        <f t="shared" ref="F33:F34" si="29">F$31+C33</f>
        <v>6.563696590469986</v>
      </c>
      <c r="G33" s="80"/>
      <c r="H33" s="27">
        <f t="shared" ref="H33:H34" si="30">F33/A33</f>
        <v>0.27419555001563267</v>
      </c>
      <c r="I33" s="1">
        <f t="shared" ref="I33:I34" si="31">C$6*B33</f>
        <v>191.50410253108112</v>
      </c>
      <c r="J33" s="1">
        <f t="shared" ref="J33:J34" si="32">F33*(I33+J$31)</f>
        <v>15370.828104653778</v>
      </c>
      <c r="K33" s="27">
        <f t="shared" si="26"/>
        <v>642.10961129291081</v>
      </c>
    </row>
    <row r="34" spans="1:11" x14ac:dyDescent="0.3">
      <c r="A34" s="18">
        <f>'Passenger transport data'!J5</f>
        <v>40.2637375571598</v>
      </c>
      <c r="B34" s="1">
        <f t="shared" si="27"/>
        <v>3221.099004572784</v>
      </c>
      <c r="C34" s="76">
        <f t="shared" si="28"/>
        <v>1.2884396018291135</v>
      </c>
      <c r="D34" s="77"/>
      <c r="E34" s="78"/>
      <c r="F34" s="79">
        <f t="shared" si="29"/>
        <v>7.0861197821747748</v>
      </c>
      <c r="G34" s="80"/>
      <c r="H34" s="27">
        <f t="shared" si="30"/>
        <v>0.17599259810679704</v>
      </c>
      <c r="I34" s="1">
        <f t="shared" si="31"/>
        <v>322.1099004572784</v>
      </c>
      <c r="J34" s="1">
        <f t="shared" si="32"/>
        <v>17519.724152557443</v>
      </c>
      <c r="K34" s="27">
        <f t="shared" si="26"/>
        <v>435.12413937443921</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245.7500168433956</v>
      </c>
      <c r="D8" s="22" t="s">
        <v>108</v>
      </c>
      <c r="E8" s="22" t="s">
        <v>147</v>
      </c>
      <c r="F8" s="22">
        <f>'Passenger transport data'!D15*10^3</f>
        <v>267.73043128047954</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0.70882201775510223</v>
      </c>
      <c r="G11" s="98"/>
      <c r="H11" s="27">
        <f>F11/A11</f>
        <v>0.70882201775510223</v>
      </c>
      <c r="I11" s="1">
        <v>0</v>
      </c>
      <c r="J11" s="1">
        <f>C$8*F11</f>
        <v>174.19302280228604</v>
      </c>
      <c r="K11" s="27">
        <f>J11/A11</f>
        <v>174.19302280228604</v>
      </c>
    </row>
    <row r="12" spans="1:11" x14ac:dyDescent="0.3">
      <c r="A12" s="1">
        <v>2</v>
      </c>
      <c r="B12" s="1">
        <f>B11+C$7</f>
        <v>80</v>
      </c>
      <c r="C12" s="82">
        <f>C$5*B12/100</f>
        <v>3.2000000000000001E-2</v>
      </c>
      <c r="D12" s="82"/>
      <c r="E12" s="82"/>
      <c r="F12" s="82">
        <f>F$11+C12</f>
        <v>0.74082201775510226</v>
      </c>
      <c r="G12" s="82"/>
      <c r="H12" s="27">
        <f t="shared" ref="H12:H15" si="0">F12/A12</f>
        <v>0.37041100887755113</v>
      </c>
      <c r="I12" s="1">
        <f>C$6*B12</f>
        <v>8</v>
      </c>
      <c r="J12" s="1">
        <f>F12*(I12+J$11)</f>
        <v>134.9726027732909</v>
      </c>
      <c r="K12" s="27">
        <f t="shared" ref="K12:K15" si="1">J12/A12</f>
        <v>67.486301386645451</v>
      </c>
    </row>
    <row r="13" spans="1:11" x14ac:dyDescent="0.3">
      <c r="A13" s="1">
        <v>3</v>
      </c>
      <c r="B13" s="1">
        <f t="shared" ref="B13:B15" si="2">B12+C$7</f>
        <v>160</v>
      </c>
      <c r="C13" s="82">
        <f>C$5*B13/100</f>
        <v>6.4000000000000001E-2</v>
      </c>
      <c r="D13" s="82"/>
      <c r="E13" s="82"/>
      <c r="F13" s="82">
        <f t="shared" ref="F13:F15" si="3">F$11+C13</f>
        <v>0.77282201775510218</v>
      </c>
      <c r="G13" s="82"/>
      <c r="H13" s="27">
        <f t="shared" si="0"/>
        <v>0.25760733925170071</v>
      </c>
      <c r="I13" s="1">
        <f t="shared" ref="I13:I15" si="4">C$6*B13</f>
        <v>16</v>
      </c>
      <c r="J13" s="1">
        <f t="shared" ref="J13:J15" si="5">F13*(I13+J$11)</f>
        <v>146.98535564500486</v>
      </c>
      <c r="K13" s="27">
        <f t="shared" si="1"/>
        <v>48.995118548334951</v>
      </c>
    </row>
    <row r="14" spans="1:11" x14ac:dyDescent="0.3">
      <c r="A14" s="1">
        <v>4</v>
      </c>
      <c r="B14" s="1">
        <f t="shared" si="2"/>
        <v>240</v>
      </c>
      <c r="C14" s="82">
        <f>C$5*B14/100</f>
        <v>9.6000000000000002E-2</v>
      </c>
      <c r="D14" s="82"/>
      <c r="E14" s="82"/>
      <c r="F14" s="82">
        <f t="shared" si="3"/>
        <v>0.8048220177551022</v>
      </c>
      <c r="G14" s="82"/>
      <c r="H14" s="27">
        <f t="shared" si="0"/>
        <v>0.20120550443877555</v>
      </c>
      <c r="I14" s="1">
        <f t="shared" si="4"/>
        <v>24</v>
      </c>
      <c r="J14" s="1">
        <f t="shared" si="5"/>
        <v>159.51010851671882</v>
      </c>
      <c r="K14" s="27">
        <f t="shared" si="1"/>
        <v>39.877527129179704</v>
      </c>
    </row>
    <row r="15" spans="1:11" x14ac:dyDescent="0.3">
      <c r="A15" s="1">
        <v>5</v>
      </c>
      <c r="B15" s="1">
        <f t="shared" si="2"/>
        <v>320</v>
      </c>
      <c r="C15" s="82">
        <f>C$5*B15/100</f>
        <v>0.128</v>
      </c>
      <c r="D15" s="82"/>
      <c r="E15" s="82"/>
      <c r="F15" s="82">
        <f t="shared" si="3"/>
        <v>0.83682201775510223</v>
      </c>
      <c r="G15" s="82"/>
      <c r="H15" s="27">
        <f t="shared" si="0"/>
        <v>0.16736440355102045</v>
      </c>
      <c r="I15" s="1">
        <f t="shared" si="4"/>
        <v>32</v>
      </c>
      <c r="J15" s="1">
        <f t="shared" si="5"/>
        <v>172.5468613884328</v>
      </c>
      <c r="K15" s="27">
        <f t="shared" si="1"/>
        <v>34.509372277686559</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0.45398557851149285</v>
      </c>
      <c r="G17" s="98"/>
      <c r="H17" s="27">
        <f>F17/A17</f>
        <v>0.45398557851149285</v>
      </c>
      <c r="I17" s="1">
        <v>0</v>
      </c>
      <c r="J17" s="1">
        <f>C$8*F17</f>
        <v>111.56696356585806</v>
      </c>
      <c r="K17" s="27">
        <f>J17/A17</f>
        <v>111.56696356585806</v>
      </c>
    </row>
    <row r="18" spans="1:11" x14ac:dyDescent="0.3">
      <c r="A18" s="1">
        <v>2</v>
      </c>
      <c r="B18" s="1">
        <f>C7+B17</f>
        <v>80</v>
      </c>
      <c r="C18" s="82">
        <f>C$5*B18/100</f>
        <v>3.2000000000000001E-2</v>
      </c>
      <c r="D18" s="82"/>
      <c r="E18" s="82"/>
      <c r="F18" s="82">
        <f>F17+C18</f>
        <v>0.48598557851149282</v>
      </c>
      <c r="G18" s="82"/>
      <c r="H18" s="27">
        <f>F18/A18</f>
        <v>0.24299278925574641</v>
      </c>
      <c r="I18" s="1">
        <f>C6*B18</f>
        <v>8</v>
      </c>
      <c r="J18" s="1">
        <f>F18*(I18+J17)</f>
        <v>58.107819959416112</v>
      </c>
      <c r="K18" s="27">
        <f>J18/A18</f>
        <v>29.053909979708056</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5.7976801803456617</v>
      </c>
      <c r="G20" s="95"/>
      <c r="H20" s="30">
        <f>F20/A20</f>
        <v>5.7976801803456617</v>
      </c>
      <c r="I20" s="1">
        <v>0</v>
      </c>
      <c r="J20" s="1">
        <f>C$8*F20</f>
        <v>1424.7800019725671</v>
      </c>
      <c r="K20" s="1">
        <f>J20/A20</f>
        <v>1424.7800019725671</v>
      </c>
    </row>
    <row r="21" spans="1:11" x14ac:dyDescent="0.3">
      <c r="A21" s="18">
        <f>'Passenger transport data'!H5</f>
        <v>7.6122880756104738</v>
      </c>
      <c r="B21" s="1">
        <f>C$7*A21</f>
        <v>608.98304604883788</v>
      </c>
      <c r="C21" s="76">
        <f>B21*C$5/100</f>
        <v>0.24359321841953516</v>
      </c>
      <c r="D21" s="77"/>
      <c r="E21" s="78"/>
      <c r="F21" s="96">
        <f>F$20+C21</f>
        <v>6.0412733987651972</v>
      </c>
      <c r="G21" s="97"/>
      <c r="H21" s="27">
        <f t="shared" ref="H21:H23" si="6">F21/A21</f>
        <v>0.79362122646425359</v>
      </c>
      <c r="I21" s="1">
        <f>C$6*B21</f>
        <v>60.898304604883791</v>
      </c>
      <c r="J21" s="1">
        <f>F21*(I21+J$20)</f>
        <v>8975.3888326488795</v>
      </c>
      <c r="K21" s="27">
        <f t="shared" ref="K21:K23" si="7">J21/A21</f>
        <v>1179.065839797332</v>
      </c>
    </row>
    <row r="22" spans="1:11" x14ac:dyDescent="0.3">
      <c r="A22" s="18">
        <f>'Passenger transport data'!I5</f>
        <v>23.938012816385136</v>
      </c>
      <c r="B22" s="1">
        <f t="shared" ref="B22:B23" si="8">C$7*A22</f>
        <v>1915.0410253108109</v>
      </c>
      <c r="C22" s="76">
        <f t="shared" ref="C22:C23" si="9">B22*C$5/100</f>
        <v>0.76601641012432442</v>
      </c>
      <c r="D22" s="77"/>
      <c r="E22" s="78"/>
      <c r="F22" s="76">
        <f>F$20+C22</f>
        <v>6.563696590469986</v>
      </c>
      <c r="G22" s="78"/>
      <c r="H22" s="27">
        <f t="shared" si="6"/>
        <v>0.27419555001563267</v>
      </c>
      <c r="I22" s="1">
        <f t="shared" ref="I22:I23" si="10">C$6*B22</f>
        <v>191.50410253108112</v>
      </c>
      <c r="J22" s="1">
        <f t="shared" ref="J22:J23" si="11">F22*(I22+J$20)</f>
        <v>10608.79846596143</v>
      </c>
      <c r="K22" s="27">
        <f t="shared" si="7"/>
        <v>443.17790901590212</v>
      </c>
    </row>
    <row r="23" spans="1:11" x14ac:dyDescent="0.3">
      <c r="A23" s="18">
        <f>'Passenger transport data'!J5</f>
        <v>40.2637375571598</v>
      </c>
      <c r="B23" s="1">
        <f t="shared" si="8"/>
        <v>3221.099004572784</v>
      </c>
      <c r="C23" s="76">
        <f t="shared" si="9"/>
        <v>1.2884396018291135</v>
      </c>
      <c r="D23" s="77"/>
      <c r="E23" s="78"/>
      <c r="F23" s="76">
        <f t="shared" ref="F23" si="12">F$20+C23</f>
        <v>7.0861197821747748</v>
      </c>
      <c r="G23" s="78"/>
      <c r="H23" s="27">
        <f t="shared" si="6"/>
        <v>0.17599259810679704</v>
      </c>
      <c r="I23" s="1">
        <f t="shared" si="10"/>
        <v>322.1099004572784</v>
      </c>
      <c r="J23" s="1">
        <f t="shared" si="11"/>
        <v>12378.671094889491</v>
      </c>
      <c r="K23" s="27">
        <f t="shared" si="7"/>
        <v>307.43969253515769</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5146.9542258041392</v>
      </c>
      <c r="K25" s="30">
        <f>J25/A25</f>
        <v>5146.9542258041392</v>
      </c>
    </row>
    <row r="26" spans="1:11" x14ac:dyDescent="0.3">
      <c r="A26" s="37">
        <f>'Passenger transport data'!H7</f>
        <v>32.161166523760379</v>
      </c>
      <c r="B26" s="1">
        <f>C$7*A26</f>
        <v>2572.8933219008304</v>
      </c>
      <c r="C26" s="76">
        <f>B26*C$5/100</f>
        <v>1.0291573287603322</v>
      </c>
      <c r="D26" s="77"/>
      <c r="E26" s="78"/>
      <c r="F26" s="79">
        <f>F$25+C26</f>
        <v>20.253547328760334</v>
      </c>
      <c r="G26" s="80"/>
      <c r="H26" s="27">
        <f t="shared" ref="H26:H28" si="13">F26/A26</f>
        <v>0.62975163894621788</v>
      </c>
      <c r="I26" s="1">
        <f>C$6*B26</f>
        <v>257.28933219008303</v>
      </c>
      <c r="J26" s="1">
        <f>F26*(I26+J$25)</f>
        <v>109455.10267798412</v>
      </c>
      <c r="K26" s="27">
        <f t="shared" ref="K26:K28" si="14">J26/A26</f>
        <v>3403.3312379114009</v>
      </c>
    </row>
    <row r="27" spans="1:11" x14ac:dyDescent="0.3">
      <c r="A27" s="37">
        <f>'Passenger transport data'!I7</f>
        <v>101.13574378540999</v>
      </c>
      <c r="B27" s="1">
        <f t="shared" ref="B27" si="15">C$7*A27</f>
        <v>8090.8595028327991</v>
      </c>
      <c r="C27" s="76">
        <f t="shared" ref="C27:C28" si="16">B27*C$5/100</f>
        <v>3.2363438011331196</v>
      </c>
      <c r="D27" s="77"/>
      <c r="E27" s="78"/>
      <c r="F27" s="79">
        <f t="shared" ref="F27:F28" si="17">F$25+C27</f>
        <v>22.460733801133124</v>
      </c>
      <c r="G27" s="80"/>
      <c r="H27" s="27">
        <f t="shared" si="13"/>
        <v>0.22208502118489731</v>
      </c>
      <c r="I27" s="1">
        <f t="shared" ref="I27" si="18">C$6*B27</f>
        <v>809.08595028328</v>
      </c>
      <c r="J27" s="1">
        <f t="shared" ref="J27:J28" si="19">F27*(I27+J$25)</f>
        <v>133777.03290395357</v>
      </c>
      <c r="K27" s="27">
        <f t="shared" si="14"/>
        <v>1322.7473086844739</v>
      </c>
    </row>
    <row r="28" spans="1:11" x14ac:dyDescent="0.3">
      <c r="A28" s="37">
        <f>'Passenger transport data'!J7</f>
        <v>170.11032104705959</v>
      </c>
      <c r="B28" s="1">
        <f>C$7*A28</f>
        <v>13608.825683764768</v>
      </c>
      <c r="C28" s="76">
        <f t="shared" si="16"/>
        <v>5.4435302735059077</v>
      </c>
      <c r="D28" s="77"/>
      <c r="E28" s="78"/>
      <c r="F28" s="79">
        <f t="shared" si="17"/>
        <v>24.66792027350591</v>
      </c>
      <c r="G28" s="80"/>
      <c r="H28" s="27">
        <f t="shared" si="13"/>
        <v>0.14501130867116369</v>
      </c>
      <c r="I28" s="1">
        <f>C$6*B28</f>
        <v>1360.8825683764769</v>
      </c>
      <c r="J28" s="1">
        <f t="shared" si="19"/>
        <v>160534.79919183574</v>
      </c>
      <c r="K28" s="27">
        <f t="shared" si="14"/>
        <v>943.70993014248177</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245.7500168433956</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386</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0.32361937571124905</v>
      </c>
      <c r="G11" s="98"/>
      <c r="H11" s="27">
        <f>F11/A11</f>
        <v>0.32361937571124905</v>
      </c>
      <c r="I11" s="1">
        <v>0</v>
      </c>
      <c r="J11" s="1">
        <f>C$8*F11</f>
        <v>124.91707902454213</v>
      </c>
      <c r="K11" s="27">
        <f>J11/A11</f>
        <v>124.91707902454213</v>
      </c>
    </row>
    <row r="12" spans="1:11" x14ac:dyDescent="0.3">
      <c r="A12" s="1">
        <v>2</v>
      </c>
      <c r="B12" s="1">
        <f>B11+C$7</f>
        <v>70</v>
      </c>
      <c r="C12" s="82">
        <f t="shared" ref="C12:C15" si="0">C$4*B12/100</f>
        <v>5.9500000000000004E-3</v>
      </c>
      <c r="D12" s="82"/>
      <c r="E12" s="82"/>
      <c r="F12" s="82">
        <f>F$11+C12</f>
        <v>0.32956937571124906</v>
      </c>
      <c r="G12" s="82"/>
      <c r="H12" s="27">
        <f t="shared" ref="H12:H15" si="1">F12/A12</f>
        <v>0.16478468785562453</v>
      </c>
      <c r="I12" s="1">
        <f>C$6*B12</f>
        <v>1.9599999999999997</v>
      </c>
      <c r="J12" s="1">
        <f>F12*(I12+J$11)</f>
        <v>41.814799726185164</v>
      </c>
      <c r="K12" s="27">
        <f t="shared" ref="K12:K15" si="2">J12/A12</f>
        <v>20.907399863092582</v>
      </c>
    </row>
    <row r="13" spans="1:11" x14ac:dyDescent="0.3">
      <c r="A13" s="1">
        <v>3</v>
      </c>
      <c r="B13" s="1">
        <f t="shared" ref="B13:B15" si="3">B12+C$7</f>
        <v>140</v>
      </c>
      <c r="C13" s="82">
        <f t="shared" si="0"/>
        <v>1.1900000000000001E-2</v>
      </c>
      <c r="D13" s="82"/>
      <c r="E13" s="82"/>
      <c r="F13" s="82">
        <f t="shared" ref="F13:F15" si="4">F$11+C13</f>
        <v>0.33551937571124907</v>
      </c>
      <c r="G13" s="82"/>
      <c r="H13" s="27">
        <f t="shared" si="1"/>
        <v>0.11183979190374969</v>
      </c>
      <c r="I13" s="1">
        <f t="shared" ref="I13:I15" si="5">C$6*B13</f>
        <v>3.9199999999999995</v>
      </c>
      <c r="J13" s="1">
        <f t="shared" ref="J13:J15" si="6">F13*(I13+J$11)</f>
        <v>43.227336322775237</v>
      </c>
      <c r="K13" s="27">
        <f t="shared" si="2"/>
        <v>14.409112107591746</v>
      </c>
    </row>
    <row r="14" spans="1:11" x14ac:dyDescent="0.3">
      <c r="A14" s="1">
        <v>4</v>
      </c>
      <c r="B14" s="1">
        <f t="shared" si="3"/>
        <v>210</v>
      </c>
      <c r="C14" s="82">
        <f t="shared" si="0"/>
        <v>1.7850000000000001E-2</v>
      </c>
      <c r="D14" s="82"/>
      <c r="E14" s="82"/>
      <c r="F14" s="82">
        <f t="shared" si="4"/>
        <v>0.34146937571124902</v>
      </c>
      <c r="G14" s="82"/>
      <c r="H14" s="27">
        <f t="shared" si="1"/>
        <v>8.5367343927812256E-2</v>
      </c>
      <c r="I14" s="1">
        <f t="shared" si="5"/>
        <v>5.879999999999999</v>
      </c>
      <c r="J14" s="1">
        <f t="shared" si="6"/>
        <v>44.663196919365312</v>
      </c>
      <c r="K14" s="27">
        <f t="shared" si="2"/>
        <v>11.165799229841328</v>
      </c>
    </row>
    <row r="15" spans="1:11" x14ac:dyDescent="0.3">
      <c r="A15" s="1">
        <v>5</v>
      </c>
      <c r="B15" s="1">
        <f t="shared" si="3"/>
        <v>280</v>
      </c>
      <c r="C15" s="82">
        <f t="shared" si="0"/>
        <v>2.3800000000000002E-2</v>
      </c>
      <c r="D15" s="82"/>
      <c r="E15" s="82"/>
      <c r="F15" s="82">
        <f t="shared" si="4"/>
        <v>0.34741937571124903</v>
      </c>
      <c r="G15" s="82"/>
      <c r="H15" s="27">
        <f t="shared" si="1"/>
        <v>6.948387514224981E-2</v>
      </c>
      <c r="I15" s="1">
        <f t="shared" si="5"/>
        <v>7.839999999999999</v>
      </c>
      <c r="J15" s="1">
        <f t="shared" si="6"/>
        <v>46.122381515955375</v>
      </c>
      <c r="K15" s="27">
        <f t="shared" si="2"/>
        <v>9.224476303191075</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0.45273262637114697</v>
      </c>
      <c r="G17" s="95"/>
      <c r="H17" s="27">
        <f>F17/A17</f>
        <v>0.45273262637114697</v>
      </c>
      <c r="I17" s="1">
        <v>0</v>
      </c>
      <c r="J17" s="1">
        <f>F17*(0.5*C$8+0.5*F$6)</f>
        <v>143.00692216776341</v>
      </c>
      <c r="K17" s="27">
        <f>J17/A17</f>
        <v>143.00692216776341</v>
      </c>
    </row>
    <row r="18" spans="1:11" x14ac:dyDescent="0.3">
      <c r="A18" s="1">
        <v>2</v>
      </c>
      <c r="B18" s="1">
        <f>C$7+B17</f>
        <v>70</v>
      </c>
      <c r="C18" s="76">
        <f>B18*(0.5*C$4+0.5*'Transport c&amp;e fuel vehicles'!C$5)/100</f>
        <v>1.6975000000000001E-2</v>
      </c>
      <c r="D18" s="77"/>
      <c r="E18" s="78"/>
      <c r="F18" s="76">
        <f>F$17+C18</f>
        <v>0.46970762637114699</v>
      </c>
      <c r="G18" s="78"/>
      <c r="H18" s="27">
        <f t="shared" ref="H18:H21" si="7">F18/A18</f>
        <v>0.2348538131855735</v>
      </c>
      <c r="I18" s="1">
        <f>B18*(0.5*C$6+0.5*'Transport c&amp;e fuel vehicles'!C$6)/100</f>
        <v>4.4800000000000006E-2</v>
      </c>
      <c r="J18" s="1">
        <f>F18*(I18+J$17)</f>
        <v>67.192484867724943</v>
      </c>
      <c r="K18" s="27">
        <f t="shared" ref="K18:K21" si="8">J18/A18</f>
        <v>33.596242433862471</v>
      </c>
    </row>
    <row r="19" spans="1:11" x14ac:dyDescent="0.3">
      <c r="A19" s="1">
        <v>3</v>
      </c>
      <c r="B19" s="1">
        <f t="shared" ref="B19:B21" si="9">C$7+B18</f>
        <v>140</v>
      </c>
      <c r="C19" s="76">
        <f>B19*(0.5*C$4+0.5*'Transport c&amp;e fuel vehicles'!C$5)/100</f>
        <v>3.3950000000000001E-2</v>
      </c>
      <c r="D19" s="77"/>
      <c r="E19" s="78"/>
      <c r="F19" s="76">
        <f t="shared" ref="F19:F21" si="10">F$17+C19</f>
        <v>0.48668262637114695</v>
      </c>
      <c r="G19" s="78"/>
      <c r="H19" s="27">
        <f t="shared" si="7"/>
        <v>0.16222754212371565</v>
      </c>
      <c r="I19" s="1">
        <f>B19*(0.5*C$6+0.5*'Transport c&amp;e fuel vehicles'!C$6)/100</f>
        <v>8.9600000000000013E-2</v>
      </c>
      <c r="J19" s="1">
        <f t="shared" ref="J19:J21" si="11">F19*(I19+J$17)</f>
        <v>69.642591233184135</v>
      </c>
      <c r="K19" s="27">
        <f t="shared" si="8"/>
        <v>23.214197077728045</v>
      </c>
    </row>
    <row r="20" spans="1:11" x14ac:dyDescent="0.3">
      <c r="A20" s="1">
        <v>4</v>
      </c>
      <c r="B20" s="1">
        <f t="shared" si="9"/>
        <v>210</v>
      </c>
      <c r="C20" s="76">
        <f>B20*(0.5*C$4+0.5*'Transport c&amp;e fuel vehicles'!C$5)/100</f>
        <v>5.0925000000000005E-2</v>
      </c>
      <c r="D20" s="77"/>
      <c r="E20" s="78"/>
      <c r="F20" s="76">
        <f t="shared" si="10"/>
        <v>0.50365762637114697</v>
      </c>
      <c r="G20" s="78"/>
      <c r="H20" s="27">
        <f t="shared" si="7"/>
        <v>0.12591440659278674</v>
      </c>
      <c r="I20" s="1">
        <f>B20*(0.5*C$6+0.5*'Transport c&amp;e fuel vehicles'!C$6)/100</f>
        <v>0.13439999999999999</v>
      </c>
      <c r="J20" s="1">
        <f t="shared" si="11"/>
        <v>72.094218558643362</v>
      </c>
      <c r="K20" s="27">
        <f t="shared" si="8"/>
        <v>18.023554639660841</v>
      </c>
    </row>
    <row r="21" spans="1:11" x14ac:dyDescent="0.3">
      <c r="A21" s="1">
        <v>5</v>
      </c>
      <c r="B21" s="1">
        <f t="shared" si="9"/>
        <v>280</v>
      </c>
      <c r="C21" s="76">
        <f>B21*(0.5*C$4+0.5*'Transport c&amp;e fuel vehicles'!C$5)/100</f>
        <v>6.7900000000000002E-2</v>
      </c>
      <c r="D21" s="77"/>
      <c r="E21" s="78"/>
      <c r="F21" s="76">
        <f t="shared" si="10"/>
        <v>0.52063262637114693</v>
      </c>
      <c r="G21" s="78"/>
      <c r="H21" s="27">
        <f t="shared" si="7"/>
        <v>0.10412652527422939</v>
      </c>
      <c r="I21" s="1">
        <f>B21*(0.5*C$6+0.5*'Transport c&amp;e fuel vehicles'!C$6)/100</f>
        <v>0.17920000000000003</v>
      </c>
      <c r="J21" s="1">
        <f t="shared" si="11"/>
        <v>74.547366844102569</v>
      </c>
      <c r="K21" s="27">
        <f t="shared" si="8"/>
        <v>14.909473368820514</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0.1309529566831566</v>
      </c>
      <c r="G23" s="98"/>
      <c r="H23" s="27">
        <f>F23/A23</f>
        <v>0.1309529566831566</v>
      </c>
      <c r="I23" s="1">
        <v>0</v>
      </c>
      <c r="J23" s="1">
        <f>C$8*F23</f>
        <v>50.547841279698446</v>
      </c>
      <c r="K23" s="27">
        <f>J23/A23</f>
        <v>50.547841279698446</v>
      </c>
    </row>
    <row r="24" spans="1:11" x14ac:dyDescent="0.3">
      <c r="A24" s="1">
        <v>2</v>
      </c>
      <c r="B24" s="1">
        <f>C7+B23</f>
        <v>70</v>
      </c>
      <c r="C24" s="82">
        <f>C$5*B24/100</f>
        <v>0</v>
      </c>
      <c r="D24" s="82"/>
      <c r="E24" s="82"/>
      <c r="F24" s="82">
        <f>F23+C24</f>
        <v>0.1309529566831566</v>
      </c>
      <c r="G24" s="82"/>
      <c r="H24" s="27">
        <f>F24/A24</f>
        <v>6.5476478341578298E-2</v>
      </c>
      <c r="I24" s="1">
        <f>C6*B24</f>
        <v>1.9599999999999997</v>
      </c>
      <c r="J24" s="1">
        <f>F24*(I24+J23)</f>
        <v>6.8760570646264121</v>
      </c>
      <c r="K24" s="27">
        <f>J24/A24</f>
        <v>3.438028532313206</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1.1759424989507597E-2</v>
      </c>
      <c r="G26" s="95"/>
      <c r="H26" s="27">
        <f>F26/A26</f>
        <v>1.1759424989507597E-2</v>
      </c>
      <c r="I26" s="1">
        <v>0</v>
      </c>
      <c r="J26" s="1">
        <f>C$8*F26</f>
        <v>4.5391380459499322</v>
      </c>
      <c r="K26" s="27">
        <f>J26/A26</f>
        <v>4.5391380459499322</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2.5494433377252469E-2</v>
      </c>
      <c r="G28" s="95"/>
      <c r="H28" s="27">
        <f>F28/A28</f>
        <v>2.5494433377252469E-2</v>
      </c>
      <c r="I28" s="1">
        <v>0</v>
      </c>
      <c r="J28" s="1">
        <f>C$8*F28</f>
        <v>9.8408512836194539</v>
      </c>
      <c r="K28" s="27">
        <f>J28/A28</f>
        <v>9.8408512836194539</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4.1113542332922712</v>
      </c>
      <c r="G30" s="95"/>
      <c r="H30" s="2">
        <f>F30/A30</f>
        <v>4.1113542332922712</v>
      </c>
      <c r="I30" s="1">
        <v>0</v>
      </c>
      <c r="J30" s="1">
        <f>C$8*F30</f>
        <v>1586.9827340508166</v>
      </c>
      <c r="K30" s="27">
        <f>J30/A30</f>
        <v>1586.9827340508166</v>
      </c>
    </row>
    <row r="31" spans="1:11" x14ac:dyDescent="0.3">
      <c r="A31" s="18">
        <f>'Passenger transport data'!H6</f>
        <v>21.576457816377175</v>
      </c>
      <c r="B31" s="1">
        <f>C$7*A31</f>
        <v>1510.3520471464024</v>
      </c>
      <c r="C31" s="76">
        <f t="shared" ref="C31:C33" si="12">C$4*B31/100</f>
        <v>0.12837992400744422</v>
      </c>
      <c r="D31" s="77"/>
      <c r="E31" s="78"/>
      <c r="F31" s="76">
        <f>F$30+C31</f>
        <v>4.2397341572997158</v>
      </c>
      <c r="G31" s="78"/>
      <c r="H31" s="27">
        <f t="shared" ref="H31:H33" si="13">F31/A31</f>
        <v>0.19649815522924394</v>
      </c>
      <c r="I31" s="1">
        <f>C$6*B31</f>
        <v>42.289857320099259</v>
      </c>
      <c r="J31" s="1">
        <f>F31*(I31+J$30)</f>
        <v>6907.6826571874944</v>
      </c>
      <c r="K31" s="27">
        <f t="shared" ref="K31:K33" si="14">J31/A31</f>
        <v>320.14905856995478</v>
      </c>
    </row>
    <row r="32" spans="1:11" x14ac:dyDescent="0.3">
      <c r="A32" s="18">
        <f>'Passenger transport data'!I6</f>
        <v>67.850496277915639</v>
      </c>
      <c r="B32" s="1">
        <f>C$7*A32</f>
        <v>4749.534739454095</v>
      </c>
      <c r="C32" s="76">
        <f t="shared" si="12"/>
        <v>0.40371045285359813</v>
      </c>
      <c r="D32" s="77"/>
      <c r="E32" s="78"/>
      <c r="F32" s="76">
        <f t="shared" ref="F32:F33" si="15">F$30+C32</f>
        <v>4.5150646861458696</v>
      </c>
      <c r="G32" s="78"/>
      <c r="H32" s="27">
        <f t="shared" si="13"/>
        <v>6.6544313362899579E-2</v>
      </c>
      <c r="I32" s="1">
        <f t="shared" ref="I32:I33" si="16">C$6*B32</f>
        <v>132.98697270471465</v>
      </c>
      <c r="J32" s="1">
        <f t="shared" ref="J32:J33" si="17">F32*(I32+J$30)</f>
        <v>7765.7744842125658</v>
      </c>
      <c r="K32" s="27">
        <f t="shared" si="14"/>
        <v>114.45420314103455</v>
      </c>
    </row>
    <row r="33" spans="1:11" x14ac:dyDescent="0.3">
      <c r="A33" s="18">
        <f>'Passenger transport data'!J6</f>
        <v>114.12453473945411</v>
      </c>
      <c r="B33" s="1">
        <f>C$7*A33</f>
        <v>7988.7174317617873</v>
      </c>
      <c r="C33" s="76">
        <f t="shared" si="12"/>
        <v>0.67904098169975202</v>
      </c>
      <c r="D33" s="77"/>
      <c r="E33" s="78"/>
      <c r="F33" s="76">
        <f t="shared" si="15"/>
        <v>4.7903952149920235</v>
      </c>
      <c r="G33" s="78"/>
      <c r="H33" s="27">
        <f t="shared" si="13"/>
        <v>4.1975156577229236E-2</v>
      </c>
      <c r="I33" s="1">
        <f t="shared" si="16"/>
        <v>223.68408808933003</v>
      </c>
      <c r="J33" s="1">
        <f t="shared" si="17"/>
        <v>8673.8096807249713</v>
      </c>
      <c r="K33" s="27">
        <f t="shared" si="14"/>
        <v>76.003023368526726</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13.435549924307866</v>
      </c>
      <c r="G35" s="95"/>
      <c r="H35" s="2">
        <f>F35/A35</f>
        <v>13.435549924307866</v>
      </c>
      <c r="I35" s="1">
        <v>0</v>
      </c>
      <c r="J35" s="34">
        <f>C$8*F35</f>
        <v>5186.1222707828365</v>
      </c>
      <c r="K35" s="27">
        <f>J35/A35</f>
        <v>5186.1222707828365</v>
      </c>
    </row>
    <row r="36" spans="1:11" x14ac:dyDescent="0.3">
      <c r="A36" s="18">
        <f>'Passenger transport data'!H7</f>
        <v>32.161166523760379</v>
      </c>
      <c r="B36" s="1">
        <f>C$7*A36</f>
        <v>2251.2816566632264</v>
      </c>
      <c r="C36" s="76">
        <f t="shared" ref="C36:C38" si="18">C$4*B36/100</f>
        <v>0.19135894081637425</v>
      </c>
      <c r="D36" s="77"/>
      <c r="E36" s="78"/>
      <c r="F36" s="76">
        <f>F$35+C36</f>
        <v>13.626908865124239</v>
      </c>
      <c r="G36" s="78"/>
      <c r="H36" s="27">
        <f t="shared" ref="H36:H38" si="19">F36/A36</f>
        <v>0.4237069216707921</v>
      </c>
      <c r="I36" s="1">
        <f>C$6*B36</f>
        <v>63.035886386570333</v>
      </c>
      <c r="J36" s="34">
        <f>F36*(I36+J$35)</f>
        <v>71529.799826371003</v>
      </c>
      <c r="K36" s="27">
        <f t="shared" ref="K36:K38" si="20">J36/A36</f>
        <v>2224.1046441373769</v>
      </c>
    </row>
    <row r="37" spans="1:11" x14ac:dyDescent="0.3">
      <c r="A37" s="18">
        <f>'Passenger transport data'!I7</f>
        <v>101.13574378540999</v>
      </c>
      <c r="B37" s="1">
        <f t="shared" ref="B37:B38" si="21">C$7*A37</f>
        <v>7079.5020649786993</v>
      </c>
      <c r="C37" s="76">
        <f t="shared" si="18"/>
        <v>0.60175767552318948</v>
      </c>
      <c r="D37" s="77"/>
      <c r="E37" s="78"/>
      <c r="F37" s="76">
        <f t="shared" ref="F37:F38" si="22">F$35+C37</f>
        <v>14.037307599831056</v>
      </c>
      <c r="G37" s="78"/>
      <c r="H37" s="27">
        <f t="shared" si="19"/>
        <v>0.13879670109131192</v>
      </c>
      <c r="I37" s="1">
        <f t="shared" ref="I37:I38" si="23">C$6*B37</f>
        <v>198.22605781940356</v>
      </c>
      <c r="J37" s="34">
        <f t="shared" ref="J37:J38" si="24">F37*(I37+J$35)</f>
        <v>75581.753713225873</v>
      </c>
      <c r="K37" s="27">
        <f t="shared" si="20"/>
        <v>747.32978553651003</v>
      </c>
    </row>
    <row r="38" spans="1:11" x14ac:dyDescent="0.3">
      <c r="A38" s="18">
        <f>'Passenger transport data'!J7</f>
        <v>170.11032104705959</v>
      </c>
      <c r="B38" s="1">
        <f t="shared" si="21"/>
        <v>11907.72247329417</v>
      </c>
      <c r="C38" s="76">
        <f t="shared" si="18"/>
        <v>1.0121564102300047</v>
      </c>
      <c r="D38" s="77"/>
      <c r="E38" s="78"/>
      <c r="F38" s="76">
        <f t="shared" si="22"/>
        <v>14.44770633453787</v>
      </c>
      <c r="G38" s="78"/>
      <c r="H38" s="27">
        <f t="shared" si="19"/>
        <v>8.4931391849769264E-2</v>
      </c>
      <c r="I38" s="1">
        <f t="shared" si="23"/>
        <v>333.41622925223675</v>
      </c>
      <c r="J38" s="34">
        <f t="shared" si="24"/>
        <v>79744.671350682387</v>
      </c>
      <c r="K38" s="27">
        <f t="shared" si="20"/>
        <v>468.78208717636653</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25.175865040500366</v>
      </c>
      <c r="G40" s="95"/>
      <c r="H40" s="1">
        <f>F40/A40</f>
        <v>25.175865040500366</v>
      </c>
      <c r="I40" s="1">
        <v>0</v>
      </c>
      <c r="J40" s="1">
        <f>C$8*F40</f>
        <v>9717.8839056331417</v>
      </c>
      <c r="K40" s="1">
        <f>J40/A40</f>
        <v>9717.8839056331417</v>
      </c>
    </row>
    <row r="41" spans="1:11" x14ac:dyDescent="0.3">
      <c r="A41" s="18">
        <f>'Passenger transport data'!H8</f>
        <v>71.921526054590572</v>
      </c>
      <c r="B41" s="1">
        <f>C$7*A41</f>
        <v>5034.5068238213398</v>
      </c>
      <c r="C41" s="76">
        <f t="shared" ref="C41:C43" si="25">B41*C$4/100</f>
        <v>0.42793308002481389</v>
      </c>
      <c r="D41" s="77"/>
      <c r="E41" s="78"/>
      <c r="F41" s="76">
        <f>F$40+C41</f>
        <v>25.60379812052518</v>
      </c>
      <c r="G41" s="78"/>
      <c r="H41" s="27">
        <f t="shared" ref="H41:H43" si="26">F41/A41</f>
        <v>0.35599631327470915</v>
      </c>
      <c r="I41" s="1">
        <f>C$6*B41</f>
        <v>140.96619106699751</v>
      </c>
      <c r="J41" s="1">
        <f>F41*(I41+J$40)</f>
        <v>252424.00757643054</v>
      </c>
      <c r="K41" s="27">
        <f t="shared" ref="K41:K43" si="27">J41/A41</f>
        <v>3509.7142875532595</v>
      </c>
    </row>
    <row r="42" spans="1:11" x14ac:dyDescent="0.3">
      <c r="A42" s="18">
        <f>'Passenger transport data'!I8</f>
        <v>226.16832092638543</v>
      </c>
      <c r="B42" s="1">
        <f t="shared" ref="B42:B43" si="28">C$7*A42</f>
        <v>15831.78246484698</v>
      </c>
      <c r="C42" s="76">
        <f t="shared" si="25"/>
        <v>1.3457015095119933</v>
      </c>
      <c r="D42" s="77"/>
      <c r="E42" s="78"/>
      <c r="F42" s="76">
        <f>F$40+C42</f>
        <v>26.521566550012359</v>
      </c>
      <c r="G42" s="78"/>
      <c r="H42" s="27">
        <f t="shared" si="26"/>
        <v>0.11726472762135751</v>
      </c>
      <c r="I42" s="1">
        <f t="shared" ref="I42:I43" si="29">C$6*B42</f>
        <v>443.28990901571541</v>
      </c>
      <c r="J42" s="1">
        <f t="shared" ref="J42:J43" si="30">F42*(I42+J$40)</f>
        <v>269490.2475514526</v>
      </c>
      <c r="K42" s="27">
        <f t="shared" si="27"/>
        <v>1191.5472796880683</v>
      </c>
    </row>
    <row r="43" spans="1:11" x14ac:dyDescent="0.3">
      <c r="A43" s="18">
        <f>'Passenger transport data'!J8</f>
        <v>380.4151157981803</v>
      </c>
      <c r="B43" s="1">
        <f t="shared" si="28"/>
        <v>26629.05810587262</v>
      </c>
      <c r="C43" s="76">
        <f t="shared" si="25"/>
        <v>2.2634699389991728</v>
      </c>
      <c r="D43" s="77"/>
      <c r="E43" s="78"/>
      <c r="F43" s="76">
        <f t="shared" ref="F43" si="31">F$40+C43</f>
        <v>27.439334979499538</v>
      </c>
      <c r="G43" s="78"/>
      <c r="H43" s="27">
        <f t="shared" si="26"/>
        <v>7.2129980749915279E-2</v>
      </c>
      <c r="I43" s="1">
        <f t="shared" si="29"/>
        <v>745.61362696443325</v>
      </c>
      <c r="J43" s="1">
        <f t="shared" si="30"/>
        <v>287111.41385411174</v>
      </c>
      <c r="K43" s="27">
        <f t="shared" si="27"/>
        <v>754.73187560304916</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0.32361937571124905</v>
      </c>
    </row>
    <row r="8" spans="1:6" x14ac:dyDescent="0.3">
      <c r="B8" s="1" t="s">
        <v>99</v>
      </c>
      <c r="C8" s="1">
        <v>6.96</v>
      </c>
      <c r="D8" s="1">
        <f t="shared" ref="D8:D10" si="0">C8/100</f>
        <v>6.9599999999999995E-2</v>
      </c>
      <c r="E8" s="1">
        <f>D8/D$7</f>
        <v>0.40465116279069768</v>
      </c>
      <c r="F8" s="1">
        <f>F$7*E8</f>
        <v>0.1309529566831566</v>
      </c>
    </row>
    <row r="9" spans="1:6" x14ac:dyDescent="0.3">
      <c r="B9" s="1" t="s">
        <v>100</v>
      </c>
      <c r="C9" s="1">
        <v>0.625</v>
      </c>
      <c r="D9" s="1">
        <f t="shared" si="0"/>
        <v>6.2500000000000003E-3</v>
      </c>
      <c r="E9" s="1">
        <f>D9/D$7</f>
        <v>3.6337209302325583E-2</v>
      </c>
      <c r="F9" s="1">
        <f t="shared" ref="F9:F10" si="1">F$7*E9</f>
        <v>1.1759424989507597E-2</v>
      </c>
    </row>
    <row r="10" spans="1:6" x14ac:dyDescent="0.3">
      <c r="B10" s="1" t="s">
        <v>101</v>
      </c>
      <c r="C10" s="1">
        <v>1.355</v>
      </c>
      <c r="D10" s="1">
        <f t="shared" si="0"/>
        <v>1.355E-2</v>
      </c>
      <c r="E10" s="1">
        <f>D10/D$7</f>
        <v>7.8779069767441867E-2</v>
      </c>
      <c r="F10" s="1">
        <f t="shared" si="1"/>
        <v>2.5494433377252469E-2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16526EA1-6DB0-48E3-A8EA-E2FB1D619F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2022-07-01T09:37:39Z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