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1" documentId="8_{4C372892-E9C3-428B-950B-C5A505A38EBC}" xr6:coauthVersionLast="47" xr6:coauthVersionMax="47" xr10:uidLastSave="{C0D20993-7EFE-4383-88DA-396A1AD6AEAB}"/>
  <bookViews>
    <workbookView xWindow="1920" yWindow="1920" windowWidth="14712" windowHeight="8880" firstSheet="3"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7" i="4"/>
  <c r="B26" i="4"/>
  <c r="B25" i="4"/>
  <c r="B24" i="4"/>
  <c r="B22"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18" i="10"/>
  <c r="B18" i="10" s="1"/>
  <c r="A28" i="10"/>
  <c r="B28" i="10" s="1"/>
  <c r="A33" i="10"/>
  <c r="B33" i="10" s="1"/>
  <c r="A13" i="10"/>
  <c r="B13" i="10" s="1"/>
  <c r="A23" i="10"/>
  <c r="B2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I38" i="9" s="1"/>
  <c r="A39" i="12"/>
  <c r="A28" i="8"/>
  <c r="B28" i="8" s="1"/>
  <c r="A36" i="9"/>
  <c r="B36" i="9" s="1"/>
  <c r="A37" i="12"/>
  <c r="A26" i="8"/>
  <c r="B26" i="8" s="1"/>
  <c r="C27" i="8"/>
  <c r="F27" i="8" s="1"/>
  <c r="I27" i="8"/>
  <c r="A42" i="12"/>
  <c r="A33" i="9"/>
  <c r="B33" i="9" s="1"/>
  <c r="A51" i="12"/>
  <c r="A31" i="9"/>
  <c r="B31" i="9" s="1"/>
  <c r="A49" i="12"/>
  <c r="I23" i="10"/>
  <c r="C23" i="10"/>
  <c r="C18" i="10"/>
  <c r="I18" i="10"/>
  <c r="C13" i="10"/>
  <c r="I13" i="10"/>
  <c r="A19" i="12"/>
  <c r="A34" i="10"/>
  <c r="B34" i="10" s="1"/>
  <c r="A19" i="10"/>
  <c r="B19" i="10" s="1"/>
  <c r="A29" i="10"/>
  <c r="B29" i="10" s="1"/>
  <c r="A14" i="10"/>
  <c r="B14" i="10" s="1"/>
  <c r="A24" i="10"/>
  <c r="B24" i="10" s="1"/>
  <c r="A26" i="12"/>
  <c r="A34" i="12"/>
  <c r="A22" i="12"/>
  <c r="A30" i="12"/>
  <c r="A21" i="8"/>
  <c r="B21" i="8" s="1"/>
  <c r="I21" i="8" s="1"/>
  <c r="A17" i="12"/>
  <c r="A32" i="10"/>
  <c r="B32" i="10" s="1"/>
  <c r="A17" i="10"/>
  <c r="B17" i="10" s="1"/>
  <c r="A12" i="10"/>
  <c r="B12" i="10" s="1"/>
  <c r="A22" i="10"/>
  <c r="B22" i="10" s="1"/>
  <c r="A27" i="10"/>
  <c r="B27" i="10" s="1"/>
  <c r="I33" i="10"/>
  <c r="C33" i="10"/>
  <c r="C28" i="10"/>
  <c r="I28" i="10"/>
  <c r="C43" i="9"/>
  <c r="I43" i="9"/>
  <c r="C42" i="9"/>
  <c r="C41" i="9"/>
  <c r="C38" i="9"/>
  <c r="I37" i="9"/>
  <c r="C37" i="9"/>
  <c r="C36" i="9"/>
  <c r="I36" i="9"/>
  <c r="C32" i="9"/>
  <c r="I32" i="9"/>
  <c r="I31" i="9"/>
  <c r="C31"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J27" i="8"/>
  <c r="K27" i="8" s="1"/>
  <c r="H27" i="8"/>
  <c r="I26" i="8"/>
  <c r="C26" i="8"/>
  <c r="F26" i="8" s="1"/>
  <c r="A41" i="12"/>
  <c r="B37" i="12"/>
  <c r="I28" i="8"/>
  <c r="C28" i="8"/>
  <c r="F28" i="8" s="1"/>
  <c r="A43" i="12"/>
  <c r="C42" i="12"/>
  <c r="B42" i="12"/>
  <c r="F20" i="8"/>
  <c r="B4" i="12"/>
  <c r="F11" i="10"/>
  <c r="H11" i="10" s="1"/>
  <c r="F31" i="10"/>
  <c r="H31" i="10" s="1"/>
  <c r="F16" i="10"/>
  <c r="H16" i="10" s="1"/>
  <c r="F26" i="10"/>
  <c r="F28" i="10" s="1"/>
  <c r="F21" i="10"/>
  <c r="F23" i="10"/>
  <c r="I22" i="10"/>
  <c r="C22" i="10"/>
  <c r="F22" i="10" s="1"/>
  <c r="A31" i="12"/>
  <c r="A35" i="12"/>
  <c r="A23" i="12"/>
  <c r="A27" i="12"/>
  <c r="C34" i="10"/>
  <c r="I34" i="10"/>
  <c r="C12" i="10"/>
  <c r="I12" i="10"/>
  <c r="I17" i="10"/>
  <c r="C17" i="10"/>
  <c r="F17" i="10" s="1"/>
  <c r="H17" i="10" s="1"/>
  <c r="I27" i="10"/>
  <c r="C27" i="10"/>
  <c r="C32" i="10"/>
  <c r="I32" i="10"/>
  <c r="I24" i="10"/>
  <c r="C24" i="10"/>
  <c r="F24" i="10" s="1"/>
  <c r="A25" i="12"/>
  <c r="A33" i="12"/>
  <c r="B17" i="12"/>
  <c r="A29" i="12"/>
  <c r="A21" i="12"/>
  <c r="C14" i="10"/>
  <c r="I14" i="10"/>
  <c r="C29" i="10"/>
  <c r="F29" i="10" s="1"/>
  <c r="I29" i="10"/>
  <c r="H23" i="10"/>
  <c r="I19" i="10"/>
  <c r="C19" i="10"/>
  <c r="F19" i="10" s="1"/>
  <c r="H19" i="10" s="1"/>
  <c r="C8" i="9"/>
  <c r="H3" i="12"/>
  <c r="C10" i="11"/>
  <c r="C8" i="8"/>
  <c r="J11" i="8" s="1"/>
  <c r="K11" i="8" s="1"/>
  <c r="F41" i="9"/>
  <c r="H41" i="9" s="1"/>
  <c r="F38" i="9"/>
  <c r="H38" i="9" s="1"/>
  <c r="F37" i="9"/>
  <c r="H37" i="9" s="1"/>
  <c r="F36" i="9"/>
  <c r="H36" i="9" s="1"/>
  <c r="H20" i="8"/>
  <c r="F21" i="8"/>
  <c r="F22" i="8"/>
  <c r="F11" i="9"/>
  <c r="F7" i="7"/>
  <c r="H17" i="9"/>
  <c r="F19" i="9"/>
  <c r="F20" i="9"/>
  <c r="F21" i="9"/>
  <c r="F18" i="9"/>
  <c r="H11" i="8"/>
  <c r="F13" i="8"/>
  <c r="F12" i="8"/>
  <c r="F14" i="8"/>
  <c r="F15" i="8"/>
  <c r="H17" i="8"/>
  <c r="F18" i="8"/>
  <c r="C23" i="8"/>
  <c r="F23" i="8" s="1"/>
  <c r="I33" i="9"/>
  <c r="C33" i="9"/>
  <c r="F33" i="9" s="1"/>
  <c r="E10" i="1"/>
  <c r="F12" i="10" l="1"/>
  <c r="H12" i="10" s="1"/>
  <c r="F32" i="9"/>
  <c r="H32" i="9" s="1"/>
  <c r="F33" i="10"/>
  <c r="H33" i="10" s="1"/>
  <c r="F31" i="9"/>
  <c r="H31" i="9" s="1"/>
  <c r="F32" i="10"/>
  <c r="H32" i="10" s="1"/>
  <c r="F34" i="10"/>
  <c r="H34" i="10" s="1"/>
  <c r="F18" i="10"/>
  <c r="H18" i="10" s="1"/>
  <c r="F27" i="10"/>
  <c r="F43" i="9"/>
  <c r="H43" i="9" s="1"/>
  <c r="B47" i="12"/>
  <c r="F42" i="9"/>
  <c r="H42" i="9" s="1"/>
  <c r="B45" i="12"/>
  <c r="B39" i="12"/>
  <c r="B49" i="12"/>
  <c r="B51" i="12"/>
  <c r="J28" i="8"/>
  <c r="K28" i="8" s="1"/>
  <c r="H28" i="8"/>
  <c r="B41" i="12"/>
  <c r="C41" i="12"/>
  <c r="J26" i="8"/>
  <c r="K26" i="8" s="1"/>
  <c r="H26" i="8"/>
  <c r="C43" i="12"/>
  <c r="B43" i="12"/>
  <c r="J17" i="8"/>
  <c r="K17" i="8" s="1"/>
  <c r="J20" i="8"/>
  <c r="K20" i="8" s="1"/>
  <c r="J14" i="8"/>
  <c r="K14" i="8" s="1"/>
  <c r="J12" i="8"/>
  <c r="J13" i="8"/>
  <c r="K13" i="8" s="1"/>
  <c r="J17" i="9"/>
  <c r="J18" i="9" s="1"/>
  <c r="H28" i="10"/>
  <c r="B8" i="12"/>
  <c r="B31" i="12" s="1"/>
  <c r="B5" i="12"/>
  <c r="B22" i="12" s="1"/>
  <c r="B34" i="12"/>
  <c r="B6" i="12"/>
  <c r="B25" i="12" s="1"/>
  <c r="B18" i="12"/>
  <c r="B19" i="12"/>
  <c r="J21" i="10"/>
  <c r="J24" i="10" s="1"/>
  <c r="K24" i="10" s="1"/>
  <c r="H21" i="10"/>
  <c r="J26" i="10"/>
  <c r="K26" i="10" s="1"/>
  <c r="H26" i="10"/>
  <c r="B35" i="12"/>
  <c r="F13" i="10"/>
  <c r="H13" i="10" s="1"/>
  <c r="F14" i="10"/>
  <c r="H14" i="10" s="1"/>
  <c r="J15" i="8"/>
  <c r="K15" i="8" s="1"/>
  <c r="H24" i="10"/>
  <c r="H29" i="10"/>
  <c r="B29" i="12"/>
  <c r="J22" i="10"/>
  <c r="K22" i="10" s="1"/>
  <c r="H22" i="10"/>
  <c r="H27" i="10"/>
  <c r="J35" i="9"/>
  <c r="J38" i="9" s="1"/>
  <c r="K38" i="9" s="1"/>
  <c r="J30" i="9"/>
  <c r="J31" i="9" s="1"/>
  <c r="K31" i="9" s="1"/>
  <c r="I8" i="10"/>
  <c r="E2" i="11"/>
  <c r="J40" i="9"/>
  <c r="K40" i="9" s="1"/>
  <c r="C11" i="12"/>
  <c r="C9" i="12"/>
  <c r="H8" i="12"/>
  <c r="C7" i="12" s="1"/>
  <c r="C12" i="12"/>
  <c r="C5" i="12"/>
  <c r="J21" i="8"/>
  <c r="K21" i="8" s="1"/>
  <c r="J23" i="8"/>
  <c r="H22" i="8"/>
  <c r="J22" i="8"/>
  <c r="K22" i="8" s="1"/>
  <c r="H21" i="8"/>
  <c r="J37" i="9"/>
  <c r="K37" i="9" s="1"/>
  <c r="F6" i="9"/>
  <c r="F8" i="7"/>
  <c r="F23" i="9" s="1"/>
  <c r="F9" i="7"/>
  <c r="F26" i="9" s="1"/>
  <c r="F10" i="7"/>
  <c r="F28" i="9" s="1"/>
  <c r="J11" i="9"/>
  <c r="H11" i="9"/>
  <c r="F12" i="9"/>
  <c r="F13" i="9"/>
  <c r="F14" i="9"/>
  <c r="F15" i="9"/>
  <c r="H20" i="9"/>
  <c r="H21" i="9"/>
  <c r="H19" i="9"/>
  <c r="H18" i="9"/>
  <c r="H13" i="8"/>
  <c r="H15" i="8"/>
  <c r="H12" i="8"/>
  <c r="K12" i="8"/>
  <c r="H14" i="8"/>
  <c r="H18" i="8"/>
  <c r="K23" i="8"/>
  <c r="H23" i="8"/>
  <c r="H33" i="9"/>
  <c r="E9" i="3"/>
  <c r="E5" i="3"/>
  <c r="E3" i="3"/>
  <c r="C3" i="3" s="1"/>
  <c r="J27" i="10" l="1"/>
  <c r="K27" i="10" s="1"/>
  <c r="J29" i="10"/>
  <c r="K29" i="10" s="1"/>
  <c r="B21" i="12"/>
  <c r="J41" i="9"/>
  <c r="K41" i="9" s="1"/>
  <c r="J42" i="9"/>
  <c r="K42" i="9" s="1"/>
  <c r="J43" i="9"/>
  <c r="K43" i="9" s="1"/>
  <c r="J36" i="9"/>
  <c r="K36" i="9" s="1"/>
  <c r="K35" i="9"/>
  <c r="J33" i="9"/>
  <c r="K33" i="9" s="1"/>
  <c r="J32" i="9"/>
  <c r="K32" i="9" s="1"/>
  <c r="K30" i="9"/>
  <c r="J18" i="8"/>
  <c r="K18" i="8" s="1"/>
  <c r="C6" i="12"/>
  <c r="B26" i="12"/>
  <c r="B27" i="12"/>
  <c r="B23" i="12"/>
  <c r="C8" i="12"/>
  <c r="B30" i="12"/>
  <c r="B33" i="12"/>
  <c r="K21" i="10"/>
  <c r="J23" i="10"/>
  <c r="K23" i="10" s="1"/>
  <c r="J28" i="10"/>
  <c r="K28" i="10" s="1"/>
  <c r="C34" i="12"/>
  <c r="C35" i="12"/>
  <c r="C33" i="12"/>
  <c r="C39" i="12"/>
  <c r="C37" i="12"/>
  <c r="C38" i="12"/>
  <c r="C46" i="12"/>
  <c r="C47" i="12"/>
  <c r="C45" i="12"/>
  <c r="K8" i="10"/>
  <c r="J31" i="10" s="1"/>
  <c r="H7" i="12"/>
  <c r="C4" i="12" s="1"/>
  <c r="J16" i="10"/>
  <c r="J11" i="10"/>
  <c r="C23" i="12"/>
  <c r="C21" i="12"/>
  <c r="C22" i="12"/>
  <c r="C50" i="12"/>
  <c r="C51" i="12"/>
  <c r="C49" i="12"/>
  <c r="C9" i="3"/>
  <c r="C5" i="3"/>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0" i="12" l="1"/>
  <c r="C29" i="12"/>
  <c r="C31" i="12"/>
  <c r="C26" i="12"/>
  <c r="C27" i="12"/>
  <c r="C25" i="12"/>
  <c r="K11" i="10"/>
  <c r="J12" i="10"/>
  <c r="K12" i="10" s="1"/>
  <c r="J13" i="10"/>
  <c r="K13" i="10" s="1"/>
  <c r="J14" i="10"/>
  <c r="K14" i="10" s="1"/>
  <c r="J17" i="10"/>
  <c r="K17" i="10" s="1"/>
  <c r="K16" i="10"/>
  <c r="J19" i="10"/>
  <c r="K19" i="10" s="1"/>
  <c r="J18" i="10"/>
  <c r="K18" i="10" s="1"/>
  <c r="C18" i="12"/>
  <c r="C19" i="12"/>
  <c r="C17" i="12"/>
  <c r="K31" i="10"/>
  <c r="J32" i="10"/>
  <c r="K32" i="10" s="1"/>
  <c r="J34" i="10"/>
  <c r="K34" i="10" s="1"/>
  <c r="J33" i="10"/>
  <c r="K33" i="10" s="1"/>
  <c r="F13" i="3"/>
  <c r="C13" i="3"/>
  <c r="E13" i="3"/>
  <c r="K23" i="9"/>
  <c r="J24" i="9"/>
  <c r="K24" i="9" s="1"/>
  <c r="H24" i="9"/>
  <c r="G7" i="3"/>
  <c r="F7" i="3"/>
  <c r="D7" i="3"/>
  <c r="D6" i="3"/>
  <c r="F6" i="3"/>
  <c r="B6" i="3"/>
  <c r="G6" i="3"/>
  <c r="E8" i="3"/>
  <c r="D4" i="3"/>
  <c r="D13" i="3" s="1"/>
  <c r="G4" i="3"/>
  <c r="G13" i="3" s="1"/>
  <c r="B4" i="3"/>
  <c r="B13" i="3" s="1"/>
  <c r="F4" i="3"/>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<sst xmlns="http://schemas.openxmlformats.org/spreadsheetml/2006/main" count="307" uniqueCount="195">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</sst>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SE/JRC-IDEES-2015_Residential_S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SE/JRC-IDEES-2015_Transport_S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7491.1644696982294</v>
          </cell>
        </row>
        <row r="162">
          <cell r="Q162">
            <v>1094.5669331656829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6184.893253103839</v>
          </cell>
        </row>
        <row r="56">
          <cell r="Q56">
            <v>15916.435590970521</v>
          </cell>
        </row>
      </sheetData>
      <sheetData sheetId="3">
        <row r="150">
          <cell r="Q150">
            <v>10.001017293997965</v>
          </cell>
        </row>
      </sheetData>
      <sheetData sheetId="4">
        <row r="62">
          <cell r="Q62">
            <v>4.2516018057208704</v>
          </cell>
        </row>
        <row r="64">
          <cell r="Q64">
            <v>7.5908544769341422</v>
          </cell>
        </row>
        <row r="65">
          <cell r="Q65">
            <v>5.8286917895727495</v>
          </cell>
        </row>
        <row r="68">
          <cell r="Q68">
            <v>3.4296978687104742</v>
          </cell>
        </row>
        <row r="69">
          <cell r="Q69">
            <v>3.0864972810091209</v>
          </cell>
        </row>
        <row r="70">
          <cell r="Q70">
            <v>52.018963271004246</v>
          </cell>
        </row>
      </sheetData>
      <sheetData sheetId="5">
        <row r="48">
          <cell r="Q48">
            <v>2.7584703678834255</v>
          </cell>
        </row>
        <row r="49">
          <cell r="Q49">
            <v>2.5233363128723796</v>
          </cell>
        </row>
      </sheetData>
      <sheetData sheetId="6" refreshError="1"/>
      <sheetData sheetId="7">
        <row r="62">
          <cell r="Q62">
            <v>78.124371923489647</v>
          </cell>
        </row>
        <row r="63">
          <cell r="Q63">
            <v>85.944605420084528</v>
          </cell>
        </row>
        <row r="66">
          <cell r="Q66">
            <v>244.13866226090514</v>
          </cell>
        </row>
      </sheetData>
      <sheetData sheetId="8">
        <row r="31">
          <cell r="Q31">
            <v>39.03980809350692</v>
          </cell>
        </row>
        <row r="33">
          <cell r="Q33">
            <v>188.55568096215467</v>
          </cell>
        </row>
        <row r="34">
          <cell r="Q34">
            <v>117.67421439186276</v>
          </cell>
        </row>
        <row r="35">
          <cell r="Q35">
            <v>194.2363679334357</v>
          </cell>
        </row>
      </sheetData>
      <sheetData sheetId="9" refreshError="1"/>
      <sheetData sheetId="10">
        <row r="69">
          <cell r="Q69">
            <v>104.99303887294867</v>
          </cell>
        </row>
      </sheetData>
      <sheetData sheetId="11">
        <row r="37">
          <cell r="Q37">
            <v>2630.1364103451901</v>
          </cell>
        </row>
      </sheetData>
      <sheetData sheetId="12">
        <row r="41">
          <cell r="Q41">
            <v>7917.019524215365</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1094.5669331656829</v>
      </c>
      <c r="C3" s="6">
        <v>1.0999999999999999E-2</v>
      </c>
      <c r="D3" s="2">
        <f>B3*$C3</f>
        <v>12.040236264822513</v>
      </c>
      <c r="E3" s="31">
        <v>8.98</v>
      </c>
    </row>
    <row r="4" spans="1:5" x14ac:dyDescent="0.3">
      <c r="A4" s="1" t="s">
        <v>5</v>
      </c>
      <c r="B4" s="6">
        <f>[1]RES_summary!$Q$157</f>
        <v>7491.1644696982294</v>
      </c>
      <c r="C4" s="6">
        <v>0.20200000000000001</v>
      </c>
      <c r="D4" s="29">
        <f>B4*$C4</f>
        <v>1513.2152228790424</v>
      </c>
      <c r="E4" s="31">
        <v>3.47</v>
      </c>
    </row>
    <row r="5" spans="1:5" x14ac:dyDescent="0.3">
      <c r="A5" s="1" t="s">
        <v>6</v>
      </c>
      <c r="B5" s="2">
        <f>B3+B4</f>
        <v>8585.7314028639121</v>
      </c>
      <c r="C5" s="3" t="s">
        <v>7</v>
      </c>
      <c r="D5" s="29">
        <f>D3+D4</f>
        <v>1525.255459143865</v>
      </c>
      <c r="E5" s="31">
        <f>E3+E4</f>
        <v>12.450000000000001</v>
      </c>
    </row>
    <row r="7" spans="1:5" x14ac:dyDescent="0.3">
      <c r="A7" t="s">
        <v>20</v>
      </c>
      <c r="B7" s="5">
        <v>9747355</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6184.893253103839</v>
      </c>
      <c r="C10" s="2">
        <f>B10*11630*1000/B7</f>
        <v>7379.4694595198025</v>
      </c>
      <c r="D10" s="6">
        <f>[2]Transport!$Q$56</f>
        <v>15916.435590970521</v>
      </c>
      <c r="E10" s="2">
        <f>D10*1000000/B7</f>
        <v>1632.897908301331</v>
      </c>
    </row>
    <row r="11" spans="1:5" x14ac:dyDescent="0.3">
      <c r="A11" s="39" t="s">
        <v>142</v>
      </c>
      <c r="B11" s="40">
        <f>B10*11630</f>
        <v>71930308.533597648</v>
      </c>
      <c r="C11" s="40" t="s">
        <v>143</v>
      </c>
      <c r="D11" s="40">
        <f>D10*1000</f>
        <v>15916435.590970522</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820.92519987426226</v>
      </c>
      <c r="C2" s="35">
        <f>E2*0.9</f>
        <v>985.11023984911469</v>
      </c>
      <c r="D2" s="35">
        <f>0.95*E2</f>
        <v>1039.8385865073988</v>
      </c>
      <c r="E2" s="35">
        <f>'Cons and emi per capita'!B3</f>
        <v>1094.5669331656829</v>
      </c>
      <c r="F2" s="35">
        <f>1.05*E2</f>
        <v>1149.2952798239671</v>
      </c>
      <c r="G2" s="35">
        <f>1.25*E2</f>
        <v>1368.2086664571036</v>
      </c>
      <c r="H2" s="12" t="s">
        <v>28</v>
      </c>
    </row>
    <row r="3" spans="1:8" x14ac:dyDescent="0.3">
      <c r="A3" s="1" t="s">
        <v>5</v>
      </c>
      <c r="B3" s="35">
        <f t="shared" ref="B3:B4" si="0">0.75*E3</f>
        <v>5618.373352273672</v>
      </c>
      <c r="C3" s="35">
        <f t="shared" ref="C3:C4" si="1">E3*0.9</f>
        <v>6742.048022728407</v>
      </c>
      <c r="D3" s="35">
        <f t="shared" ref="D3:D9" si="2">0.95*E3</f>
        <v>7116.6062462133177</v>
      </c>
      <c r="E3" s="17">
        <f>'Cons and emi per capita'!B4</f>
        <v>7491.1644696982294</v>
      </c>
      <c r="F3" s="35">
        <f t="shared" ref="F3:F9" si="3">1.05*E3</f>
        <v>7865.722693183141</v>
      </c>
      <c r="G3" s="35">
        <f t="shared" ref="G3:G4" si="4">1.25*E3</f>
        <v>9363.9555871227858</v>
      </c>
      <c r="H3" s="1" t="s">
        <v>28</v>
      </c>
    </row>
    <row r="4" spans="1:8" x14ac:dyDescent="0.3">
      <c r="A4" s="1" t="s">
        <v>18</v>
      </c>
      <c r="B4" s="35">
        <f t="shared" si="0"/>
        <v>6439.2985521479341</v>
      </c>
      <c r="C4" s="35">
        <f t="shared" si="1"/>
        <v>7727.1582625775209</v>
      </c>
      <c r="D4" s="35">
        <f t="shared" si="2"/>
        <v>8156.4448327207165</v>
      </c>
      <c r="E4" s="17">
        <f>E2+E3</f>
        <v>8585.7314028639121</v>
      </c>
      <c r="F4" s="35">
        <f t="shared" si="3"/>
        <v>9015.0179730071086</v>
      </c>
      <c r="G4" s="35">
        <f t="shared" si="4"/>
        <v>10732.164253579889</v>
      </c>
      <c r="H4" s="1" t="s">
        <v>28</v>
      </c>
    </row>
    <row r="5" spans="1:8" x14ac:dyDescent="0.3">
      <c r="A5" s="1" t="s">
        <v>33</v>
      </c>
      <c r="B5" s="17">
        <f>0.84*E5</f>
        <v>6198.7543459966337</v>
      </c>
      <c r="C5" s="35">
        <f>E5*0.91</f>
        <v>6715.317208163021</v>
      </c>
      <c r="D5" s="35">
        <f t="shared" si="2"/>
        <v>7010.4959865438123</v>
      </c>
      <c r="E5" s="17">
        <f>'Cons and emi per capita'!C10</f>
        <v>7379.4694595198025</v>
      </c>
      <c r="F5" s="35">
        <f t="shared" si="3"/>
        <v>7748.4429324957928</v>
      </c>
      <c r="G5" s="17">
        <f>1.16*E5</f>
        <v>8560.1845730429704</v>
      </c>
      <c r="H5" s="1" t="s">
        <v>28</v>
      </c>
    </row>
    <row r="6" spans="1:8" x14ac:dyDescent="0.3">
      <c r="A6" s="1" t="s">
        <v>29</v>
      </c>
      <c r="B6" s="17">
        <f>0.75*E6</f>
        <v>9.0301771986168848</v>
      </c>
      <c r="C6" s="35">
        <f>E6*0.9</f>
        <v>10.836212638340262</v>
      </c>
      <c r="D6" s="35">
        <f t="shared" si="2"/>
        <v>11.438224451581386</v>
      </c>
      <c r="E6" s="17">
        <f>'Cons and emi per capita'!D3</f>
        <v>12.040236264822513</v>
      </c>
      <c r="F6" s="35">
        <f t="shared" si="3"/>
        <v>12.642248078063639</v>
      </c>
      <c r="G6" s="17">
        <f>1.25*E6</f>
        <v>15.05029533102814</v>
      </c>
      <c r="H6" s="1" t="s">
        <v>30</v>
      </c>
    </row>
    <row r="7" spans="1:8" x14ac:dyDescent="0.3">
      <c r="A7" s="1" t="s">
        <v>31</v>
      </c>
      <c r="B7" s="17">
        <f>0.75*E7</f>
        <v>1134.9114171592819</v>
      </c>
      <c r="C7" s="35">
        <f t="shared" ref="C7:C8" si="5">E7*0.9</f>
        <v>1361.8937005911382</v>
      </c>
      <c r="D7" s="35">
        <f t="shared" si="2"/>
        <v>1437.5544617350902</v>
      </c>
      <c r="E7" s="17">
        <f>'Cons and emi per capita'!D4</f>
        <v>1513.2152228790424</v>
      </c>
      <c r="F7" s="35">
        <f t="shared" si="3"/>
        <v>1588.8759840229945</v>
      </c>
      <c r="G7" s="17">
        <f t="shared" ref="G7:G8" si="6">1.25*E7</f>
        <v>1891.5190285988028</v>
      </c>
      <c r="H7" s="1" t="s">
        <v>30</v>
      </c>
    </row>
    <row r="8" spans="1:8" x14ac:dyDescent="0.3">
      <c r="A8" s="1" t="s">
        <v>32</v>
      </c>
      <c r="B8" s="17">
        <f t="shared" ref="B8" si="7">0.75*E8</f>
        <v>1143.9415943578988</v>
      </c>
      <c r="C8" s="35">
        <f t="shared" si="5"/>
        <v>1372.7299132294786</v>
      </c>
      <c r="D8" s="35">
        <f t="shared" si="2"/>
        <v>1448.9926861866716</v>
      </c>
      <c r="E8" s="17">
        <f>E6+E7</f>
        <v>1525.255459143865</v>
      </c>
      <c r="F8" s="35">
        <f t="shared" si="3"/>
        <v>1601.5182321010584</v>
      </c>
      <c r="G8" s="17">
        <f t="shared" si="6"/>
        <v>1906.5693239298312</v>
      </c>
      <c r="H8" s="1" t="s">
        <v>30</v>
      </c>
    </row>
    <row r="9" spans="1:8" x14ac:dyDescent="0.3">
      <c r="A9" s="1" t="s">
        <v>34</v>
      </c>
      <c r="B9" s="17">
        <f>0.84*E9</f>
        <v>1371.634242973118</v>
      </c>
      <c r="C9" s="35">
        <f>E9*0.91</f>
        <v>1485.9370965542112</v>
      </c>
      <c r="D9" s="35">
        <f t="shared" si="2"/>
        <v>1551.2530128862643</v>
      </c>
      <c r="E9" s="17">
        <f>'Cons and emi per capita'!E10</f>
        <v>1632.897908301331</v>
      </c>
      <c r="F9" s="35">
        <f t="shared" si="3"/>
        <v>1714.5428037163977</v>
      </c>
      <c r="G9" s="17">
        <f>1.16*E9</f>
        <v>1894.1615736295439</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12638.052898144568</v>
      </c>
      <c r="C13" s="37">
        <f t="shared" ref="C13:G13" si="8">SUM(C4:C5)</f>
        <v>14442.475470740541</v>
      </c>
      <c r="D13" s="37">
        <f t="shared" si="8"/>
        <v>15166.940819264528</v>
      </c>
      <c r="E13" s="37">
        <f t="shared" si="8"/>
        <v>15965.200862383714</v>
      </c>
      <c r="F13" s="37">
        <f t="shared" si="8"/>
        <v>16763.4609055029</v>
      </c>
      <c r="G13" s="37">
        <f t="shared" si="8"/>
        <v>19292.34882662286</v>
      </c>
    </row>
    <row r="14" spans="1:8" x14ac:dyDescent="0.3">
      <c r="B14" s="37">
        <f>SUM(B8:B9)</f>
        <v>2515.5758373310168</v>
      </c>
      <c r="C14" s="37">
        <f t="shared" ref="C14:G14" si="9">SUM(C8:C9)</f>
        <v>2858.6670097836895</v>
      </c>
      <c r="D14" s="37">
        <f t="shared" si="9"/>
        <v>3000.2456990729361</v>
      </c>
      <c r="E14" s="37">
        <f t="shared" si="9"/>
        <v>3158.1533674451957</v>
      </c>
      <c r="F14" s="37">
        <f t="shared" si="9"/>
        <v>3316.0610358174563</v>
      </c>
      <c r="G14" s="37">
        <f t="shared" si="9"/>
        <v>3800.7308975593751</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11"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3.1803234994913527</v>
      </c>
      <c r="I5" s="17">
        <f>B6</f>
        <v>10.001017293997965</v>
      </c>
      <c r="J5" s="17">
        <f>J$4*I5/I$4</f>
        <v>16.821711088504575</v>
      </c>
    </row>
    <row r="6" spans="1:11" x14ac:dyDescent="0.3">
      <c r="A6" s="1" t="s">
        <v>40</v>
      </c>
      <c r="B6" s="6">
        <f>[2]TrRoad_act!$Q$150</f>
        <v>10.001017293997965</v>
      </c>
      <c r="C6" s="1" t="s">
        <v>59</v>
      </c>
      <c r="D6" s="3" t="s">
        <v>7</v>
      </c>
      <c r="E6" s="1"/>
      <c r="G6" s="1" t="s">
        <v>83</v>
      </c>
      <c r="H6" s="17">
        <f t="shared" ref="H6:H8" si="0">H$4*I6/I$4</f>
        <v>24.843550271669709</v>
      </c>
      <c r="I6" s="17">
        <f>B20</f>
        <v>78.124371923489647</v>
      </c>
      <c r="J6" s="17">
        <f t="shared" ref="J6:J8" si="1">J$4*I6/I$4</f>
        <v>131.4051935753096</v>
      </c>
    </row>
    <row r="7" spans="1:11" x14ac:dyDescent="0.3">
      <c r="A7" s="57" t="s">
        <v>61</v>
      </c>
      <c r="B7" s="57"/>
      <c r="C7" s="57"/>
      <c r="D7" s="57"/>
      <c r="E7" s="57"/>
      <c r="G7" s="1" t="s">
        <v>84</v>
      </c>
      <c r="H7" s="17">
        <f t="shared" si="0"/>
        <v>27.330384523586883</v>
      </c>
      <c r="I7" s="17">
        <f>B21</f>
        <v>85.944605420084528</v>
      </c>
      <c r="J7" s="17">
        <f t="shared" si="1"/>
        <v>144.55882631658216</v>
      </c>
    </row>
    <row r="8" spans="1:11" x14ac:dyDescent="0.3">
      <c r="A8" s="1" t="s">
        <v>42</v>
      </c>
      <c r="B8" s="6">
        <f>[2]TrRoad_ene!$Q$62</f>
        <v>4.2516018057208704</v>
      </c>
      <c r="C8" s="74" t="s">
        <v>60</v>
      </c>
      <c r="D8" s="27">
        <f>B8*11.63/100</f>
        <v>0.49446129000533723</v>
      </c>
      <c r="E8" s="74" t="s">
        <v>41</v>
      </c>
      <c r="G8" s="1" t="s">
        <v>85</v>
      </c>
      <c r="H8" s="17">
        <f t="shared" si="0"/>
        <v>77.636094598967844</v>
      </c>
      <c r="I8" s="17">
        <f>B22</f>
        <v>244.13866226090514</v>
      </c>
      <c r="J8" s="17">
        <f t="shared" si="1"/>
        <v>410.6412299228424</v>
      </c>
    </row>
    <row r="9" spans="1:11" x14ac:dyDescent="0.3">
      <c r="A9" s="1" t="s">
        <v>43</v>
      </c>
      <c r="B9" s="3" t="s">
        <v>7</v>
      </c>
      <c r="C9" s="74"/>
      <c r="D9" s="3" t="s">
        <v>7</v>
      </c>
      <c r="E9" s="74"/>
    </row>
    <row r="10" spans="1:11" x14ac:dyDescent="0.3">
      <c r="A10" s="1" t="s">
        <v>44</v>
      </c>
      <c r="B10" s="6">
        <f>AVERAGE([2]TrRoad_ene!$Q$64:$Q$65)</f>
        <v>6.7097731332534458</v>
      </c>
      <c r="C10" s="74"/>
      <c r="D10" s="27">
        <f t="shared" ref="D10:D13" si="2">B10*11.63/100</f>
        <v>0.78034661539737582</v>
      </c>
      <c r="E10" s="74"/>
    </row>
    <row r="11" spans="1:11" x14ac:dyDescent="0.3">
      <c r="A11" s="1" t="s">
        <v>45</v>
      </c>
      <c r="B11" s="6">
        <f>[2]TrRoad_ene!$Q$68</f>
        <v>3.4296978687104742</v>
      </c>
      <c r="C11" s="74"/>
      <c r="D11" s="27">
        <f t="shared" si="2"/>
        <v>0.39887386213102816</v>
      </c>
      <c r="E11" s="74"/>
    </row>
    <row r="12" spans="1:11" x14ac:dyDescent="0.3">
      <c r="A12" s="1" t="s">
        <v>46</v>
      </c>
      <c r="B12" s="6">
        <f>[2]TrRoad_ene!$Q$69</f>
        <v>3.0864972810091209</v>
      </c>
      <c r="C12" s="74"/>
      <c r="D12" s="27">
        <f t="shared" si="2"/>
        <v>0.35895963378136081</v>
      </c>
      <c r="E12" s="74"/>
    </row>
    <row r="13" spans="1:11" x14ac:dyDescent="0.3">
      <c r="A13" s="1" t="s">
        <v>40</v>
      </c>
      <c r="B13" s="6">
        <f>[2]TrRoad_ene!$Q$70</f>
        <v>52.018963271004246</v>
      </c>
      <c r="C13" s="74"/>
      <c r="D13" s="27">
        <f t="shared" si="2"/>
        <v>6.0498054284177947</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2.6409033403779025</v>
      </c>
      <c r="C16" s="1" t="s">
        <v>62</v>
      </c>
      <c r="D16" s="28">
        <f>B16*1000/11630</f>
        <v>0.22707681344607933</v>
      </c>
      <c r="E16" s="1" t="s">
        <v>47</v>
      </c>
    </row>
    <row r="17" spans="1:5" x14ac:dyDescent="0.3">
      <c r="A17" s="1" t="s">
        <v>65</v>
      </c>
      <c r="B17" s="6">
        <v>1.2999999999999999E-2</v>
      </c>
      <c r="C17" s="1" t="s">
        <v>47</v>
      </c>
      <c r="D17" s="2">
        <f>B17</f>
        <v>1.2999999999999999E-2</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78.124371923489647</v>
      </c>
      <c r="C20" s="68" t="s">
        <v>59</v>
      </c>
      <c r="D20" s="3" t="s">
        <v>7</v>
      </c>
      <c r="E20" s="1"/>
    </row>
    <row r="21" spans="1:5" x14ac:dyDescent="0.3">
      <c r="A21" s="1" t="s">
        <v>51</v>
      </c>
      <c r="B21" s="6">
        <f>[2]TrRail_act!$Q$63</f>
        <v>85.944605420084528</v>
      </c>
      <c r="C21" s="69"/>
      <c r="D21" s="3" t="s">
        <v>7</v>
      </c>
      <c r="E21" s="1"/>
    </row>
    <row r="22" spans="1:5" x14ac:dyDescent="0.3">
      <c r="A22" s="1" t="s">
        <v>52</v>
      </c>
      <c r="B22" s="6">
        <f>[2]TrRail_act!$Q$66</f>
        <v>244.13866226090514</v>
      </c>
      <c r="C22" s="70"/>
      <c r="D22" s="3" t="s">
        <v>7</v>
      </c>
      <c r="E22" s="1"/>
    </row>
    <row r="23" spans="1:5" x14ac:dyDescent="0.3">
      <c r="A23" s="65" t="s">
        <v>53</v>
      </c>
      <c r="B23" s="66"/>
      <c r="C23" s="66"/>
      <c r="D23" s="66"/>
      <c r="E23" s="67"/>
    </row>
    <row r="24" spans="1:5" x14ac:dyDescent="0.3">
      <c r="A24" s="1" t="s">
        <v>50</v>
      </c>
      <c r="B24" s="6">
        <f>[2]TrRail_ene!$Q$31</f>
        <v>39.03980809350692</v>
      </c>
      <c r="C24" s="71" t="s">
        <v>60</v>
      </c>
      <c r="D24" s="2">
        <f>B24*11.63/100</f>
        <v>4.540329681274855</v>
      </c>
      <c r="E24" s="71" t="s">
        <v>41</v>
      </c>
    </row>
    <row r="25" spans="1:5" x14ac:dyDescent="0.3">
      <c r="A25" s="1" t="s">
        <v>144</v>
      </c>
      <c r="B25" s="6">
        <f>[2]TrRail_ene!$Q$33</f>
        <v>188.55568096215467</v>
      </c>
      <c r="C25" s="72"/>
      <c r="D25" s="27">
        <f t="shared" ref="D25:D27" si="3">B25*11.63/100</f>
        <v>21.929025695898591</v>
      </c>
      <c r="E25" s="72"/>
    </row>
    <row r="26" spans="1:5" x14ac:dyDescent="0.3">
      <c r="A26" s="1" t="s">
        <v>51</v>
      </c>
      <c r="B26" s="6">
        <f>[2]TrRail_ene!$Q$34</f>
        <v>117.67421439186276</v>
      </c>
      <c r="C26" s="72"/>
      <c r="D26" s="27">
        <f t="shared" si="3"/>
        <v>13.685511133773641</v>
      </c>
      <c r="E26" s="72"/>
    </row>
    <row r="27" spans="1:5" x14ac:dyDescent="0.3">
      <c r="A27" s="1" t="s">
        <v>52</v>
      </c>
      <c r="B27" s="6">
        <f>[2]TrRail_ene!$Q$35</f>
        <v>194.2363679334357</v>
      </c>
      <c r="C27" s="73"/>
      <c r="D27" s="2">
        <f t="shared" si="3"/>
        <v>22.589689590658573</v>
      </c>
      <c r="E27" s="73"/>
    </row>
    <row r="28" spans="1:5" x14ac:dyDescent="0.3">
      <c r="A28" s="65" t="s">
        <v>63</v>
      </c>
      <c r="B28" s="66"/>
      <c r="C28" s="66"/>
      <c r="D28" s="66"/>
      <c r="E28" s="67"/>
    </row>
    <row r="29" spans="1:5" x14ac:dyDescent="0.3">
      <c r="A29" s="1" t="s">
        <v>65</v>
      </c>
      <c r="B29" s="26">
        <f>B17</f>
        <v>1.2999999999999999E-2</v>
      </c>
      <c r="C29" s="1" t="s">
        <v>47</v>
      </c>
      <c r="D29" s="2">
        <f>B29</f>
        <v>1.2999999999999999E-2</v>
      </c>
      <c r="E29" s="1" t="s">
        <v>47</v>
      </c>
    </row>
    <row r="30" spans="1:5" x14ac:dyDescent="0.3">
      <c r="A30" s="62" t="s">
        <v>54</v>
      </c>
      <c r="B30" s="63"/>
      <c r="C30" s="63"/>
      <c r="D30" s="63"/>
      <c r="E30" s="64"/>
    </row>
    <row r="31" spans="1:5" x14ac:dyDescent="0.3">
      <c r="A31" s="1" t="s">
        <v>68</v>
      </c>
      <c r="B31" s="6">
        <f>[2]TrAvia_act!$Q$69</f>
        <v>104.99303887294867</v>
      </c>
      <c r="C31" s="1" t="s">
        <v>67</v>
      </c>
      <c r="D31" s="3" t="s">
        <v>7</v>
      </c>
      <c r="E31" s="1"/>
    </row>
    <row r="32" spans="1:5" x14ac:dyDescent="0.3">
      <c r="A32" s="1" t="s">
        <v>72</v>
      </c>
      <c r="B32" s="6">
        <f>[2]TrAvia_ene!$Q$37</f>
        <v>2630.1364103451901</v>
      </c>
      <c r="C32" s="1" t="s">
        <v>69</v>
      </c>
      <c r="D32" s="28">
        <f>B32*11.63*10^(-3)/B31</f>
        <v>0.29133823328353675</v>
      </c>
      <c r="E32" s="1" t="s">
        <v>55</v>
      </c>
    </row>
    <row r="33" spans="1:5" x14ac:dyDescent="0.3">
      <c r="A33" s="1" t="s">
        <v>71</v>
      </c>
      <c r="B33" s="6">
        <f>[2]TrAvia_emi!$Q$41</f>
        <v>7917.019524215365</v>
      </c>
      <c r="C33" s="1" t="s">
        <v>70</v>
      </c>
      <c r="D33" s="28">
        <f>B33/B31</f>
        <v>75.405185040845367</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topLeftCell="A10" zoomScale="70" zoomScaleNormal="70" workbookViewId="0">
      <selection activeCell="C29" sqref="C29:C31"/>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1.2999999999999999E-2</v>
      </c>
    </row>
    <row r="4" spans="1:8" x14ac:dyDescent="0.3">
      <c r="A4" t="s">
        <v>87</v>
      </c>
      <c r="B4">
        <f>'Passenger transport data'!D13</f>
        <v>6.0498054284177947</v>
      </c>
      <c r="C4">
        <f>Tabla4[[#This Row],[ENERGY CONSUMPTION PER VEHICLE]]*H7</f>
        <v>1.0233621251007665</v>
      </c>
      <c r="G4" t="s">
        <v>165</v>
      </c>
      <c r="H4">
        <f>BUS!C16</f>
        <v>0.21668099742046432</v>
      </c>
    </row>
    <row r="5" spans="1:8" x14ac:dyDescent="0.3">
      <c r="A5" t="s">
        <v>179</v>
      </c>
      <c r="B5">
        <f>B4</f>
        <v>6.0498054284177947</v>
      </c>
      <c r="C5">
        <f>Tabla4[[#This Row],[ENERGY CONSUMPTION PER VEHICLE]]*H3</f>
        <v>7.8647470569431333E-2</v>
      </c>
      <c r="G5" t="s">
        <v>180</v>
      </c>
      <c r="H5">
        <f>'Passenger transport data'!D15</f>
        <v>0.26655202063628547</v>
      </c>
    </row>
    <row r="6" spans="1:8" x14ac:dyDescent="0.3">
      <c r="A6" t="s">
        <v>181</v>
      </c>
      <c r="B6">
        <f>B4</f>
        <v>6.0498054284177947</v>
      </c>
      <c r="C6">
        <f>Tabla4[[#This Row],[ENERGY CONSUMPTION PER VEHICLE]]*H4</f>
        <v>1.3108778744293073</v>
      </c>
      <c r="G6" t="s">
        <v>182</v>
      </c>
      <c r="H6">
        <f>BUS!E5</f>
        <v>0.22800000000000001</v>
      </c>
    </row>
    <row r="7" spans="1:8" x14ac:dyDescent="0.3">
      <c r="A7" t="s">
        <v>191</v>
      </c>
      <c r="C7">
        <f>Tabla4[[#This Row],[ENERGY CONSUMPTION PER VEHICLE]]*H8</f>
        <v>0</v>
      </c>
      <c r="G7" t="s">
        <v>184</v>
      </c>
      <c r="H7">
        <f>BUS!E2</f>
        <v>0.16915620464316425</v>
      </c>
    </row>
    <row r="8" spans="1:8" x14ac:dyDescent="0.3">
      <c r="A8" t="s">
        <v>183</v>
      </c>
      <c r="B8">
        <f>B4</f>
        <v>6.0498054284177947</v>
      </c>
      <c r="C8">
        <f>Tabla4[[#This Row],[ENERGY CONSUMPTION PER VEHICLE]]*H6</f>
        <v>1.3793556376792573</v>
      </c>
      <c r="G8" t="s">
        <v>192</v>
      </c>
      <c r="H8">
        <f>0.5*H3+0.5*H4</f>
        <v>0.11484049871023216</v>
      </c>
    </row>
    <row r="9" spans="1:8" x14ac:dyDescent="0.3">
      <c r="A9" t="s">
        <v>185</v>
      </c>
      <c r="B9">
        <f>'Passenger transport data'!D26</f>
        <v>13.685511133773641</v>
      </c>
      <c r="C9">
        <f>Tabla4[[#This Row],[ENERGY CONSUMPTION PER VEHICLE]]*H3</f>
        <v>0.17791164473905732</v>
      </c>
    </row>
    <row r="10" spans="1:8" x14ac:dyDescent="0.3">
      <c r="A10" t="s">
        <v>146</v>
      </c>
      <c r="B10">
        <f>'Passenger transport data'!D25</f>
        <v>21.929025695898591</v>
      </c>
      <c r="C10">
        <f>Tabla4[[#This Row],[ENERGY CONSUMPTION PER VEHICLE]]*H5</f>
        <v>5.8452261098267959</v>
      </c>
    </row>
    <row r="11" spans="1:8" x14ac:dyDescent="0.3">
      <c r="A11" t="s">
        <v>103</v>
      </c>
      <c r="B11">
        <f>'Passenger transport data'!D27</f>
        <v>22.589689590658573</v>
      </c>
      <c r="C11">
        <f>Tabla4[[#This Row],[ENERGY CONSUMPTION PER VEHICLE]]*H3</f>
        <v>0.29366596467856143</v>
      </c>
    </row>
    <row r="12" spans="1:8" x14ac:dyDescent="0.3">
      <c r="A12" t="s">
        <v>186</v>
      </c>
      <c r="B12">
        <f>'Passenger transport data'!D24</f>
        <v>4.540329681274855</v>
      </c>
      <c r="C12">
        <f>Tabla4[[#This Row],[ENERGY CONSUMPTION PER VEHICLE]]*H3</f>
        <v>5.9024285856573114E-2</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3.1803234994913527</v>
      </c>
      <c r="B17">
        <f>B4/Tabla5[[#This Row],[LEVEL OF OCCUPANCY]]</f>
        <v>1.9022610213663405</v>
      </c>
      <c r="C17">
        <f>C4/Tabla5[[#This Row],[LEVEL OF OCCUPANCY]]</f>
        <v>0.32177925461495932</v>
      </c>
    </row>
    <row r="18" spans="1:3" x14ac:dyDescent="0.3">
      <c r="A18" s="37">
        <f>'Passenger transport data'!I5</f>
        <v>10.001017293997965</v>
      </c>
      <c r="B18">
        <f>B4/Tabla5[[#This Row],[LEVEL OF OCCUPANCY]]</f>
        <v>0.60491900479449623</v>
      </c>
      <c r="C18">
        <f>C4/Tabla5[[#This Row],[LEVEL OF OCCUPANCY]]</f>
        <v>0.10232580296755707</v>
      </c>
    </row>
    <row r="19" spans="1:3" x14ac:dyDescent="0.3">
      <c r="A19" s="37">
        <f>'Passenger transport data'!J5</f>
        <v>16.821711088504575</v>
      </c>
      <c r="B19">
        <f>B4/Tabla5[[#This Row],[LEVEL OF OCCUPANCY]]</f>
        <v>0.35964269012752453</v>
      </c>
      <c r="C19">
        <f>C4/Tabla5[[#This Row],[LEVEL OF OCCUPANCY]]</f>
        <v>6.0835792489629656E-2</v>
      </c>
    </row>
    <row r="20" spans="1:3" x14ac:dyDescent="0.3">
      <c r="A20" t="s">
        <v>179</v>
      </c>
    </row>
    <row r="21" spans="1:3" x14ac:dyDescent="0.3">
      <c r="A21" s="37">
        <f>A17</f>
        <v>3.1803234994913527</v>
      </c>
      <c r="B21">
        <f>B5/Tabla5[[#This Row],[LEVEL OF OCCUPANCY]]</f>
        <v>1.9022610213663405</v>
      </c>
      <c r="C21">
        <f>C5/Tabla5[[#This Row],[LEVEL OF OCCUPANCY]]</f>
        <v>2.4729393277762426E-2</v>
      </c>
    </row>
    <row r="22" spans="1:3" x14ac:dyDescent="0.3">
      <c r="A22" s="37">
        <f>A18</f>
        <v>10.001017293997965</v>
      </c>
      <c r="B22">
        <f>B5/Tabla5[[#This Row],[LEVEL OF OCCUPANCY]]</f>
        <v>0.60491900479449623</v>
      </c>
      <c r="C22">
        <f>C5/Tabla5[[#This Row],[LEVEL OF OCCUPANCY]]</f>
        <v>7.863947062328451E-3</v>
      </c>
    </row>
    <row r="23" spans="1:3" x14ac:dyDescent="0.3">
      <c r="A23" s="37">
        <f>A19</f>
        <v>16.821711088504575</v>
      </c>
      <c r="B23">
        <f>B5/Tabla5[[#This Row],[LEVEL OF OCCUPANCY]]</f>
        <v>0.35964269012752453</v>
      </c>
      <c r="C23">
        <f>C5/Tabla5[[#This Row],[LEVEL OF OCCUPANCY]]</f>
        <v>4.6753549716578198E-3</v>
      </c>
    </row>
    <row r="24" spans="1:3" x14ac:dyDescent="0.3">
      <c r="A24" t="s">
        <v>181</v>
      </c>
    </row>
    <row r="25" spans="1:3" x14ac:dyDescent="0.3">
      <c r="A25" s="37">
        <f>A17</f>
        <v>3.1803234994913527</v>
      </c>
      <c r="B25">
        <f>B6/Tabla5[[#This Row],[LEVEL OF OCCUPANCY]]</f>
        <v>1.9022610213663405</v>
      </c>
      <c r="C25">
        <f>C6/Tabla5[[#This Row],[LEVEL OF OCCUPANCY]]</f>
        <v>0.41218381546372984</v>
      </c>
    </row>
    <row r="26" spans="1:3" x14ac:dyDescent="0.3">
      <c r="A26" s="37">
        <f>A18</f>
        <v>10.001017293997965</v>
      </c>
      <c r="B26">
        <f>B6/Tabla5[[#This Row],[LEVEL OF OCCUPANCY]]</f>
        <v>0.60491900479449623</v>
      </c>
      <c r="C26">
        <f>C6/Tabla5[[#This Row],[LEVEL OF OCCUPANCY]]</f>
        <v>0.13107445331746609</v>
      </c>
    </row>
    <row r="27" spans="1:3" x14ac:dyDescent="0.3">
      <c r="A27" s="37">
        <f>A19</f>
        <v>16.821711088504575</v>
      </c>
      <c r="B27">
        <f>B6/Tabla5[[#This Row],[LEVEL OF OCCUPANCY]]</f>
        <v>0.35964269012752453</v>
      </c>
      <c r="C27">
        <f>C6/Tabla5[[#This Row],[LEVEL OF OCCUPANCY]]</f>
        <v>7.7927736811811005E-2</v>
      </c>
    </row>
    <row r="28" spans="1:3" x14ac:dyDescent="0.3">
      <c r="A28" s="37" t="s">
        <v>183</v>
      </c>
    </row>
    <row r="29" spans="1:3" x14ac:dyDescent="0.3">
      <c r="A29" s="37">
        <f>A17</f>
        <v>3.1803234994913527</v>
      </c>
      <c r="B29">
        <f>B8/Tabla5[[#This Row],[LEVEL OF OCCUPANCY]]</f>
        <v>1.9022610213663405</v>
      </c>
      <c r="C29">
        <f>C8/Tabla5[[#This Row],[LEVEL OF OCCUPANCY]]</f>
        <v>0.43371551287152565</v>
      </c>
    </row>
    <row r="30" spans="1:3" x14ac:dyDescent="0.3">
      <c r="A30" s="37">
        <f>A18</f>
        <v>10.001017293997965</v>
      </c>
      <c r="B30">
        <f>B8/Tabla5[[#This Row],[LEVEL OF OCCUPANCY]]</f>
        <v>0.60491900479449623</v>
      </c>
      <c r="C30">
        <f>C8/Tabla5[[#This Row],[LEVEL OF OCCUPANCY]]</f>
        <v>0.13792153309314514</v>
      </c>
    </row>
    <row r="31" spans="1:3" x14ac:dyDescent="0.3">
      <c r="A31" s="37">
        <f>A19</f>
        <v>16.821711088504575</v>
      </c>
      <c r="B31">
        <f>B8/Tabla5[[#This Row],[LEVEL OF OCCUPANCY]]</f>
        <v>0.35964269012752453</v>
      </c>
      <c r="C31">
        <f>C8/Tabla5[[#This Row],[LEVEL OF OCCUPANCY]]</f>
        <v>8.19985333490756E-2</v>
      </c>
    </row>
    <row r="32" spans="1:3" x14ac:dyDescent="0.3">
      <c r="A32" s="37" t="s">
        <v>191</v>
      </c>
    </row>
    <row r="33" spans="1:3" x14ac:dyDescent="0.3">
      <c r="A33" s="37">
        <f>A17</f>
        <v>3.1803234994913527</v>
      </c>
      <c r="B33">
        <f>B7/Tabla5[[#This Row],[LEVEL OF OCCUPANCY]]</f>
        <v>0</v>
      </c>
      <c r="C33">
        <f>C7/Tabla5[[#This Row],[LEVEL OF OCCUPANCY]]</f>
        <v>0</v>
      </c>
    </row>
    <row r="34" spans="1:3" x14ac:dyDescent="0.3">
      <c r="A34" s="37">
        <f>A18</f>
        <v>10.001017293997965</v>
      </c>
      <c r="B34">
        <f>B7/Tabla5[[#This Row],[LEVEL OF OCCUPANCY]]</f>
        <v>0</v>
      </c>
      <c r="C34">
        <f>C7/Tabla5[[#This Row],[LEVEL OF OCCUPANCY]]</f>
        <v>0</v>
      </c>
    </row>
    <row r="35" spans="1:3" x14ac:dyDescent="0.3">
      <c r="A35" s="37">
        <f>A19</f>
        <v>16.821711088504575</v>
      </c>
      <c r="B35">
        <f>B7/Tabla5[[#This Row],[LEVEL OF OCCUPANCY]]</f>
        <v>0</v>
      </c>
      <c r="C35">
        <f>C7/Tabla5[[#This Row],[LEVEL OF OCCUPANCY]]</f>
        <v>0</v>
      </c>
    </row>
    <row r="36" spans="1:3" x14ac:dyDescent="0.3">
      <c r="A36" t="s">
        <v>185</v>
      </c>
    </row>
    <row r="37" spans="1:3" x14ac:dyDescent="0.3">
      <c r="A37" s="37">
        <f>'Passenger transport data'!H7</f>
        <v>27.330384523586883</v>
      </c>
      <c r="B37">
        <f>B9/Tabla5[[#This Row],[LEVEL OF OCCUPANCY]]</f>
        <v>0.50074345357134165</v>
      </c>
      <c r="C37">
        <f>C9/Tabla5[[#This Row],[LEVEL OF OCCUPANCY]]</f>
        <v>6.5096648964274402E-3</v>
      </c>
    </row>
    <row r="38" spans="1:3" x14ac:dyDescent="0.3">
      <c r="A38" s="37">
        <f>'Passenger transport data'!I7</f>
        <v>85.944605420084528</v>
      </c>
      <c r="B38">
        <f>B9/Tabla5[[#This Row],[LEVEL OF OCCUPANCY]]</f>
        <v>0.15923641823568666</v>
      </c>
      <c r="C38">
        <f>C9/Tabla5[[#This Row],[LEVEL OF OCCUPANCY]]</f>
        <v>2.0700734370639262E-3</v>
      </c>
    </row>
    <row r="39" spans="1:3" x14ac:dyDescent="0.3">
      <c r="A39" s="37">
        <f>'Passenger transport data'!J7</f>
        <v>144.55882631658216</v>
      </c>
      <c r="B39">
        <f>B9/Tabla5[[#This Row],[LEVEL OF OCCUPANCY]]</f>
        <v>9.4670878855937377E-2</v>
      </c>
      <c r="C39">
        <f>C9/Tabla5[[#This Row],[LEVEL OF OCCUPANCY]]</f>
        <v>1.2307214251271858E-3</v>
      </c>
    </row>
    <row r="40" spans="1:3" x14ac:dyDescent="0.3">
      <c r="A40" t="s">
        <v>146</v>
      </c>
    </row>
    <row r="41" spans="1:3" x14ac:dyDescent="0.3">
      <c r="A41" s="37">
        <f>A37</f>
        <v>27.330384523586883</v>
      </c>
      <c r="B41">
        <f>B10/Tabla5[[#This Row],[LEVEL OF OCCUPANCY]]</f>
        <v>0.80236798999198977</v>
      </c>
      <c r="C41">
        <f>C10/Tabla5[[#This Row],[LEVEL OF OCCUPANCY]]</f>
        <v>0.21387280902623976</v>
      </c>
    </row>
    <row r="42" spans="1:3" x14ac:dyDescent="0.3">
      <c r="A42" s="37">
        <f>A38</f>
        <v>85.944605420084528</v>
      </c>
      <c r="B42">
        <f>B10/Tabla5[[#This Row],[LEVEL OF OCCUPANCY]]</f>
        <v>0.25515302081745278</v>
      </c>
      <c r="C42">
        <f>C10/Tabla5[[#This Row],[LEVEL OF OCCUPANCY]]</f>
        <v>6.8011553270344249E-2</v>
      </c>
    </row>
    <row r="43" spans="1:3" x14ac:dyDescent="0.3">
      <c r="A43" s="37">
        <f>A39</f>
        <v>144.55882631658216</v>
      </c>
      <c r="B43">
        <f>B10/Tabla5[[#This Row],[LEVEL OF OCCUPANCY]]</f>
        <v>0.15169620738255221</v>
      </c>
      <c r="C43">
        <f>C10/Tabla5[[#This Row],[LEVEL OF OCCUPANCY]]</f>
        <v>4.0434930600680298E-2</v>
      </c>
    </row>
    <row r="44" spans="1:3" x14ac:dyDescent="0.3">
      <c r="A44" s="37" t="s">
        <v>103</v>
      </c>
    </row>
    <row r="45" spans="1:3" x14ac:dyDescent="0.3">
      <c r="A45" s="37">
        <f>'Passenger transport data'!H8</f>
        <v>77.636094598967844</v>
      </c>
      <c r="B45">
        <f>B11/Tabla5[[#This Row],[LEVEL OF OCCUPANCY]]</f>
        <v>0.29096890701865491</v>
      </c>
      <c r="C45">
        <f>C11/Tabla5[[#This Row],[LEVEL OF OCCUPANCY]]</f>
        <v>3.7825957912425139E-3</v>
      </c>
    </row>
    <row r="46" spans="1:3" x14ac:dyDescent="0.3">
      <c r="A46" s="37">
        <f>'Passenger transport data'!I8</f>
        <v>244.13866226090514</v>
      </c>
      <c r="B46">
        <f>B11/Tabla5[[#This Row],[LEVEL OF OCCUPANCY]]</f>
        <v>9.2528112431932277E-2</v>
      </c>
      <c r="C46">
        <f>C11/Tabla5[[#This Row],[LEVEL OF OCCUPANCY]]</f>
        <v>1.2028654616151196E-3</v>
      </c>
    </row>
    <row r="47" spans="1:3" x14ac:dyDescent="0.3">
      <c r="A47" s="37">
        <f>'Passenger transport data'!J8</f>
        <v>410.6412299228424</v>
      </c>
      <c r="B47">
        <f>B11/Tabla5[[#This Row],[LEVEL OF OCCUPANCY]]</f>
        <v>5.5010768389971633E-2</v>
      </c>
      <c r="C47">
        <f>C11/Tabla5[[#This Row],[LEVEL OF OCCUPANCY]]</f>
        <v>7.1513998906963126E-4</v>
      </c>
    </row>
    <row r="48" spans="1:3" x14ac:dyDescent="0.3">
      <c r="A48" t="s">
        <v>186</v>
      </c>
    </row>
    <row r="49" spans="1:3" x14ac:dyDescent="0.3">
      <c r="A49" s="37">
        <f>'Passenger transport data'!H6</f>
        <v>24.843550271669709</v>
      </c>
      <c r="B49">
        <f>B12/Tabla5[[#This Row],[LEVEL OF OCCUPANCY]]</f>
        <v>0.18275687780632588</v>
      </c>
      <c r="C49">
        <f>C12/Tabla5[[#This Row],[LEVEL OF OCCUPANCY]]</f>
        <v>2.3758394114822361E-3</v>
      </c>
    </row>
    <row r="50" spans="1:3" x14ac:dyDescent="0.3">
      <c r="A50" s="37">
        <f>'Passenger transport data'!I6</f>
        <v>78.124371923489647</v>
      </c>
      <c r="B50">
        <f>B12/Tabla5[[#This Row],[LEVEL OF OCCUPANCY]]</f>
        <v>5.8116687142411631E-2</v>
      </c>
      <c r="C50">
        <f>C12/Tabla5[[#This Row],[LEVEL OF OCCUPANCY]]</f>
        <v>7.555169328513512E-4</v>
      </c>
    </row>
    <row r="51" spans="1:3" x14ac:dyDescent="0.3">
      <c r="A51" s="37">
        <f>'Passenger transport data'!J6</f>
        <v>131.4051935753096</v>
      </c>
      <c r="B51">
        <f>B12/Tabla5[[#This Row],[LEVEL OF OCCUPANCY]]</f>
        <v>3.4552132664929625E-2</v>
      </c>
      <c r="C51">
        <f>C12/Tabla5[[#This Row],[LEVEL OF OCCUPANCY]]</f>
        <v>4.4917772464408512E-4</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24.6</v>
      </c>
      <c r="E2">
        <f>(Tabla1[[#This Row],[% fuel used for buses]]*C10+C3*((C11+C10)/2)+C4*((C12+C13+C14)/3)+C5*C15+C6*C16)/100</f>
        <v>0.16915620464316425</v>
      </c>
      <c r="F2" t="s">
        <v>47</v>
      </c>
    </row>
    <row r="3" spans="2:6" x14ac:dyDescent="0.3">
      <c r="B3" t="s">
        <v>161</v>
      </c>
      <c r="C3">
        <v>0</v>
      </c>
    </row>
    <row r="4" spans="2:6" x14ac:dyDescent="0.3">
      <c r="B4" t="s">
        <v>162</v>
      </c>
      <c r="C4">
        <v>22.8</v>
      </c>
      <c r="E4" t="s">
        <v>163</v>
      </c>
    </row>
    <row r="5" spans="2:6" x14ac:dyDescent="0.3">
      <c r="B5" t="s">
        <v>164</v>
      </c>
      <c r="C5">
        <v>0</v>
      </c>
      <c r="E5">
        <f>(C12+C13+C14)/3</f>
        <v>0.22800000000000001</v>
      </c>
      <c r="F5" t="s">
        <v>47</v>
      </c>
    </row>
    <row r="6" spans="2:6" x14ac:dyDescent="0.3">
      <c r="B6" t="s">
        <v>165</v>
      </c>
      <c r="C6">
        <v>52.6</v>
      </c>
    </row>
    <row r="9" spans="2:6" x14ac:dyDescent="0.3">
      <c r="B9" t="s">
        <v>166</v>
      </c>
      <c r="C9" t="s">
        <v>167</v>
      </c>
    </row>
    <row r="10" spans="2:6" x14ac:dyDescent="0.3">
      <c r="B10" t="s">
        <v>168</v>
      </c>
      <c r="C10">
        <f>'Passenger transport data'!D17</f>
        <v>1.2999999999999999E-2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2.76*1000/11630</f>
        <v>0.23731728288907997</v>
      </c>
    </row>
    <row r="16" spans="2:6" x14ac:dyDescent="0.3">
      <c r="B16" t="s">
        <v>165</v>
      </c>
      <c r="C16">
        <f>2.52*1000/11630</f>
        <v>0.21668099742046432</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237.31728288907996</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227.07681344607934</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216.68099742046431</v>
      </c>
      <c r="D8" s="22" t="s">
        <v>108</v>
      </c>
      <c r="E8" s="22" t="s">
        <v>147</v>
      </c>
      <c r="F8" s="22">
        <f>BUS!C16*1000</f>
        <v>216.68099742046431</v>
      </c>
      <c r="G8" s="22" t="s">
        <v>108</v>
      </c>
      <c r="H8" s="21" t="s">
        <v>131</v>
      </c>
      <c r="I8" s="22">
        <f>BUS!C10*1000</f>
        <v>13</v>
      </c>
      <c r="J8" s="22" t="s">
        <v>108</v>
      </c>
      <c r="K8" s="43">
        <f>BUS!E2*1000</f>
        <v>169.15620464316424</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6.0498054284177947</v>
      </c>
      <c r="G11" s="82"/>
      <c r="H11" s="30">
        <f>F11/A11</f>
        <v>6.0498054284177947</v>
      </c>
      <c r="I11" s="1">
        <v>0</v>
      </c>
      <c r="J11" s="1">
        <f>I$8*F11</f>
        <v>78.647470569431334</v>
      </c>
      <c r="K11" s="30">
        <f>J11/A11</f>
        <v>78.647470569431334</v>
      </c>
    </row>
    <row r="12" spans="1:13" x14ac:dyDescent="0.3">
      <c r="A12" s="18">
        <f>'Passenger transport data'!H5</f>
        <v>3.1803234994913527</v>
      </c>
      <c r="B12" s="1">
        <f>C$7*A12</f>
        <v>254.42587995930822</v>
      </c>
      <c r="C12" s="82">
        <f>I$4*B12/100</f>
        <v>2.16261997965412E-2</v>
      </c>
      <c r="D12" s="82"/>
      <c r="E12" s="82"/>
      <c r="F12" s="82">
        <f>F$11+C12</f>
        <v>6.0714316282143361</v>
      </c>
      <c r="G12" s="82"/>
      <c r="H12" s="27">
        <f t="shared" ref="H12:H14" si="0">F12/A12</f>
        <v>1.9090610213663406</v>
      </c>
      <c r="I12" s="1">
        <f>I$6*B12</f>
        <v>7.123924638860629</v>
      </c>
      <c r="J12" s="1">
        <f>F12*(I12+J$11)</f>
        <v>520.75516166369539</v>
      </c>
      <c r="K12" s="27">
        <f>J12/A12</f>
        <v>163.74282734035791</v>
      </c>
    </row>
    <row r="13" spans="1:13" x14ac:dyDescent="0.3">
      <c r="A13" s="18">
        <f>'Passenger transport data'!I5</f>
        <v>10.001017293997965</v>
      </c>
      <c r="B13" s="1">
        <f t="shared" ref="B13:B14" si="1">C$7*A13</f>
        <v>800.08138351983712</v>
      </c>
      <c r="C13" s="82">
        <f t="shared" ref="C13:C14" si="2">I$4*B13/100</f>
        <v>6.8006917599186159E-2</v>
      </c>
      <c r="D13" s="82"/>
      <c r="E13" s="82"/>
      <c r="F13" s="82">
        <f t="shared" ref="F13:F14" si="3">F$11+C13</f>
        <v>6.1178123460169811</v>
      </c>
      <c r="G13" s="82"/>
      <c r="H13" s="27">
        <f t="shared" si="0"/>
        <v>0.61171900479449626</v>
      </c>
      <c r="I13" s="1">
        <f t="shared" ref="I13:I14" si="4">I$6*B13</f>
        <v>22.402278738555438</v>
      </c>
      <c r="J13" s="1">
        <f>F13*(I13+J$11)</f>
        <v>618.20340387832232</v>
      </c>
      <c r="K13" s="27">
        <f>J13/A13</f>
        <v>61.814052081414999</v>
      </c>
    </row>
    <row r="14" spans="1:13" x14ac:dyDescent="0.3">
      <c r="A14" s="18">
        <f>'Passenger transport data'!J5</f>
        <v>16.821711088504575</v>
      </c>
      <c r="B14" s="1">
        <f t="shared" si="1"/>
        <v>1345.7368870803659</v>
      </c>
      <c r="C14" s="82">
        <f t="shared" si="2"/>
        <v>0.11438763540183111</v>
      </c>
      <c r="D14" s="82"/>
      <c r="E14" s="82"/>
      <c r="F14" s="82">
        <f t="shared" si="3"/>
        <v>6.1641930638196261</v>
      </c>
      <c r="G14" s="82"/>
      <c r="H14" s="27">
        <f t="shared" si="0"/>
        <v>0.36644269012752456</v>
      </c>
      <c r="I14" s="1">
        <f t="shared" si="4"/>
        <v>37.68063283825024</v>
      </c>
      <c r="J14" s="1">
        <f>F14*(I14+J$11)</f>
        <v>717.06888815292291</v>
      </c>
      <c r="K14" s="27">
        <f>J14/A14</f>
        <v>42.627583150143693</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6.0498054284177947</v>
      </c>
      <c r="G16" s="82"/>
      <c r="H16" s="30">
        <f>F16/A16</f>
        <v>6.0498054284177947</v>
      </c>
      <c r="I16" s="1">
        <v>0</v>
      </c>
      <c r="J16" s="1">
        <f>F16*(0.5*C$8+0.5*I$8)</f>
        <v>694.76267249936927</v>
      </c>
      <c r="K16" s="30">
        <f>J16/A16</f>
        <v>694.76267249936927</v>
      </c>
    </row>
    <row r="17" spans="1:11" x14ac:dyDescent="0.3">
      <c r="A17" s="18">
        <f>'Passenger transport data'!H5</f>
        <v>3.1803234994913527</v>
      </c>
      <c r="B17" s="1">
        <f>C$7*A17</f>
        <v>254.42587995930822</v>
      </c>
      <c r="C17" s="76">
        <f>B17*(0.5*I$4+0.5*C$5)/100</f>
        <v>6.1698275890132243E-2</v>
      </c>
      <c r="D17" s="77"/>
      <c r="E17" s="78"/>
      <c r="F17" s="76">
        <f>F$16+C17</f>
        <v>6.1115037043079266</v>
      </c>
      <c r="G17" s="78"/>
      <c r="H17" s="27">
        <f>F17/A17</f>
        <v>1.9216610213663403</v>
      </c>
      <c r="I17" s="1">
        <f>B17*(0.5*C$6+0.5*I$6)/100</f>
        <v>0.16283256317395725</v>
      </c>
      <c r="J17" s="1">
        <f>F17*(I17+J$16)</f>
        <v>4247.0397984077899</v>
      </c>
      <c r="K17" s="27">
        <f>J17/A17</f>
        <v>1335.4112558320069</v>
      </c>
    </row>
    <row r="18" spans="1:11" x14ac:dyDescent="0.3">
      <c r="A18" s="18">
        <f>'Passenger transport data'!I5</f>
        <v>10.001017293997965</v>
      </c>
      <c r="B18" s="1">
        <f t="shared" ref="B18:B19" si="5">C$7*A18</f>
        <v>800.08138351983712</v>
      </c>
      <c r="C18" s="76">
        <f t="shared" ref="C18:C19" si="6">B18*(0.5*I$4+0.5*C$5)/100</f>
        <v>0.1940197355035605</v>
      </c>
      <c r="D18" s="77"/>
      <c r="E18" s="78"/>
      <c r="F18" s="76">
        <f t="shared" ref="F18:F19" si="7">F$16+C18</f>
        <v>6.2438251639213549</v>
      </c>
      <c r="G18" s="78"/>
      <c r="H18" s="27">
        <f t="shared" ref="H18:H19" si="8">F18/A18</f>
        <v>0.6243190047944962</v>
      </c>
      <c r="I18" s="1">
        <f t="shared" ref="I18:I19" si="9">B18*(0.5*C$6+0.5*I$6)/100</f>
        <v>0.51205208545269576</v>
      </c>
      <c r="J18" s="1">
        <f t="shared" ref="J18:J19" si="10">F18*(I18+J$16)</f>
        <v>4341.1738212012015</v>
      </c>
      <c r="K18" s="27">
        <f t="shared" ref="K18:K19" si="11">J18/A18</f>
        <v>434.07322411156355</v>
      </c>
    </row>
    <row r="19" spans="1:11" x14ac:dyDescent="0.3">
      <c r="A19" s="18">
        <f>'Passenger transport data'!J5</f>
        <v>16.821711088504575</v>
      </c>
      <c r="B19" s="1">
        <f t="shared" si="5"/>
        <v>1345.7368870803659</v>
      </c>
      <c r="C19" s="76">
        <f t="shared" si="6"/>
        <v>0.32634119511698878</v>
      </c>
      <c r="D19" s="77"/>
      <c r="E19" s="78"/>
      <c r="F19" s="76">
        <f t="shared" si="7"/>
        <v>6.3761466235347832</v>
      </c>
      <c r="G19" s="78"/>
      <c r="H19" s="27">
        <f t="shared" si="8"/>
        <v>0.37904269012752456</v>
      </c>
      <c r="I19" s="1">
        <f t="shared" si="9"/>
        <v>0.86127160773143419</v>
      </c>
      <c r="J19" s="1">
        <f t="shared" si="10"/>
        <v>4435.400262468439</v>
      </c>
      <c r="K19" s="27">
        <f t="shared" si="11"/>
        <v>263.67117109147421</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6.0498054284177947</v>
      </c>
      <c r="G21" s="82"/>
      <c r="H21" s="30">
        <f>F21/A21</f>
        <v>6.0498054284177947</v>
      </c>
      <c r="I21" s="1">
        <v>0</v>
      </c>
      <c r="J21" s="1">
        <f>F21*K$6</f>
        <v>1379.3556376792571</v>
      </c>
      <c r="K21" s="30">
        <f>J21/A21</f>
        <v>1379.3556376792571</v>
      </c>
    </row>
    <row r="22" spans="1:11" x14ac:dyDescent="0.3">
      <c r="A22" s="18">
        <f>'Passenger transport data'!H5</f>
        <v>3.1803234994913527</v>
      </c>
      <c r="B22" s="1">
        <f>C$7*A22</f>
        <v>254.42587995930822</v>
      </c>
      <c r="C22" s="76">
        <f>B22*C$5/100</f>
        <v>0.10177035198372328</v>
      </c>
      <c r="D22" s="77"/>
      <c r="E22" s="78"/>
      <c r="F22" s="79">
        <f>F$21+C22</f>
        <v>6.1515757804015179</v>
      </c>
      <c r="G22" s="80"/>
      <c r="H22" s="27">
        <f t="shared" ref="H22:H24" si="12">F22/A22</f>
        <v>1.9342610213663405</v>
      </c>
      <c r="I22" s="1">
        <f>C$6*B22</f>
        <v>25.442587995930822</v>
      </c>
      <c r="J22" s="1">
        <f>F22*(I22+J$21)</f>
        <v>8641.7227414145127</v>
      </c>
      <c r="K22" s="27">
        <f t="shared" ref="K22:K24" si="13">J22/A22</f>
        <v>2717.2464508081121</v>
      </c>
    </row>
    <row r="23" spans="1:11" x14ac:dyDescent="0.3">
      <c r="A23" s="18">
        <f>'Passenger transport data'!I5</f>
        <v>10.001017293997965</v>
      </c>
      <c r="B23" s="1">
        <f t="shared" ref="B23:B24" si="14">C$7*A23</f>
        <v>800.08138351983712</v>
      </c>
      <c r="C23" s="76">
        <f t="shared" ref="C23:C24" si="15">B23*C$5/100</f>
        <v>0.32003255340793485</v>
      </c>
      <c r="D23" s="77"/>
      <c r="E23" s="78"/>
      <c r="F23" s="76">
        <f>F$21+C23</f>
        <v>6.3698379818257296</v>
      </c>
      <c r="G23" s="78"/>
      <c r="H23" s="27">
        <f t="shared" si="12"/>
        <v>0.63691900479449626</v>
      </c>
      <c r="I23" s="1">
        <f t="shared" ref="I23:I24" si="16">C$6*B23</f>
        <v>80.008138351983717</v>
      </c>
      <c r="J23" s="1">
        <f t="shared" ref="J23:J24" si="17">F23*(I23+J$21)</f>
        <v>9295.9108098644156</v>
      </c>
      <c r="K23" s="27">
        <f t="shared" si="13"/>
        <v>929.49652386295611</v>
      </c>
    </row>
    <row r="24" spans="1:11" x14ac:dyDescent="0.3">
      <c r="A24" s="18">
        <f>'Passenger transport data'!J5</f>
        <v>16.821711088504575</v>
      </c>
      <c r="B24" s="1">
        <f t="shared" si="14"/>
        <v>1345.7368870803659</v>
      </c>
      <c r="C24" s="76">
        <f t="shared" si="15"/>
        <v>0.53829475483214639</v>
      </c>
      <c r="D24" s="77"/>
      <c r="E24" s="78"/>
      <c r="F24" s="76">
        <f t="shared" ref="F24" si="18">F$21+C24</f>
        <v>6.5881001832499413</v>
      </c>
      <c r="G24" s="78"/>
      <c r="H24" s="27">
        <f t="shared" si="12"/>
        <v>0.39164269012752456</v>
      </c>
      <c r="I24" s="1">
        <f t="shared" si="16"/>
        <v>134.5736887080366</v>
      </c>
      <c r="J24" s="1">
        <f t="shared" si="17"/>
        <v>9973.9180725995902</v>
      </c>
      <c r="K24" s="27">
        <f t="shared" si="13"/>
        <v>592.91935404927085</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6.0498054284177947</v>
      </c>
      <c r="G26" s="82"/>
      <c r="H26" s="30">
        <f>F26/A26</f>
        <v>6.0498054284177947</v>
      </c>
      <c r="I26" s="1">
        <v>0</v>
      </c>
      <c r="J26" s="1">
        <f>C$8*F26</f>
        <v>1310.8778744293072</v>
      </c>
      <c r="K26" s="30">
        <f>J26/A26</f>
        <v>1310.8778744293072</v>
      </c>
    </row>
    <row r="27" spans="1:11" x14ac:dyDescent="0.3">
      <c r="A27" s="18">
        <f>'Passenger transport data'!H5</f>
        <v>3.1803234994913527</v>
      </c>
      <c r="B27" s="1">
        <f>C$7*A27</f>
        <v>254.42587995930822</v>
      </c>
      <c r="C27" s="76">
        <f>B27*C$5/100</f>
        <v>0.10177035198372328</v>
      </c>
      <c r="D27" s="77"/>
      <c r="E27" s="78"/>
      <c r="F27" s="79">
        <f>F$26+C27</f>
        <v>6.1515757804015179</v>
      </c>
      <c r="G27" s="80"/>
      <c r="H27" s="27">
        <f>F27/A27</f>
        <v>1.9342610213663405</v>
      </c>
      <c r="I27" s="1">
        <f>C$6*B27</f>
        <v>25.442587995930822</v>
      </c>
      <c r="J27" s="1">
        <f>F27*(I27+J$26)</f>
        <v>8220.4765915100506</v>
      </c>
      <c r="K27" s="27">
        <f>J27/A27</f>
        <v>2584.792582523381</v>
      </c>
    </row>
    <row r="28" spans="1:11" x14ac:dyDescent="0.3">
      <c r="A28" s="18">
        <f>'Passenger transport data'!I5</f>
        <v>10.001017293997965</v>
      </c>
      <c r="B28" s="1">
        <f t="shared" ref="B28:B29" si="19">C$7*A28</f>
        <v>800.08138351983712</v>
      </c>
      <c r="C28" s="76">
        <f t="shared" ref="C28:C29" si="20">B28*C$5/100</f>
        <v>0.32003255340793485</v>
      </c>
      <c r="D28" s="77"/>
      <c r="E28" s="78"/>
      <c r="F28" s="79">
        <f t="shared" ref="F28:F29" si="21">F$26+C28</f>
        <v>6.3698379818257296</v>
      </c>
      <c r="G28" s="80"/>
      <c r="H28" s="27">
        <f t="shared" ref="H28:H29" si="22">F28/A28</f>
        <v>0.63691900479449626</v>
      </c>
      <c r="I28" s="1">
        <f t="shared" ref="I28:I29" si="23">C$6*B28</f>
        <v>80.008138351983717</v>
      </c>
      <c r="J28" s="1">
        <f t="shared" ref="J28:J29" si="24">F28*(I28+J$26)</f>
        <v>8859.7185526044141</v>
      </c>
      <c r="K28" s="27">
        <f t="shared" ref="K28:K29" si="25">J28/A28</f>
        <v>885.88173504324482</v>
      </c>
    </row>
    <row r="29" spans="1:11" x14ac:dyDescent="0.3">
      <c r="A29" s="18">
        <f>'Passenger transport data'!J5</f>
        <v>16.821711088504575</v>
      </c>
      <c r="B29" s="1">
        <f t="shared" si="19"/>
        <v>1345.7368870803659</v>
      </c>
      <c r="C29" s="76">
        <f t="shared" si="20"/>
        <v>0.53829475483214639</v>
      </c>
      <c r="D29" s="77"/>
      <c r="E29" s="78"/>
      <c r="F29" s="79">
        <f t="shared" si="21"/>
        <v>6.5881001832499413</v>
      </c>
      <c r="G29" s="80"/>
      <c r="H29" s="27">
        <f t="shared" si="22"/>
        <v>0.39164269012752456</v>
      </c>
      <c r="I29" s="1">
        <f t="shared" si="23"/>
        <v>134.5736887080366</v>
      </c>
      <c r="J29" s="1">
        <f t="shared" si="24"/>
        <v>9522.7797079840493</v>
      </c>
      <c r="K29" s="27">
        <f t="shared" si="25"/>
        <v>566.10053863614473</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6.0498054284177947</v>
      </c>
      <c r="G31" s="82"/>
      <c r="H31" s="30">
        <f>F31/A31</f>
        <v>6.0498054284177947</v>
      </c>
      <c r="I31" s="1">
        <v>0</v>
      </c>
      <c r="J31" s="1">
        <f>K$8*F31</f>
        <v>1023.3621251007664</v>
      </c>
      <c r="K31" s="30">
        <f>J31/A31</f>
        <v>1023.3621251007664</v>
      </c>
    </row>
    <row r="32" spans="1:11" x14ac:dyDescent="0.3">
      <c r="A32" s="18">
        <f>'Passenger transport data'!H5</f>
        <v>3.1803234994913527</v>
      </c>
      <c r="B32" s="1">
        <f>C$7*A32</f>
        <v>254.42587995930822</v>
      </c>
      <c r="C32" s="76">
        <f>B32*C$5/100</f>
        <v>0.10177035198372328</v>
      </c>
      <c r="D32" s="77"/>
      <c r="E32" s="78"/>
      <c r="F32" s="79">
        <f>F$31+C32</f>
        <v>6.1515757804015179</v>
      </c>
      <c r="G32" s="80"/>
      <c r="H32" s="27">
        <f>F32/A32</f>
        <v>1.9342610213663405</v>
      </c>
      <c r="I32" s="1">
        <f>C$6*B32</f>
        <v>25.442587995930822</v>
      </c>
      <c r="J32" s="1">
        <f>F32*(I32+J$31)</f>
        <v>6451.8016714566056</v>
      </c>
      <c r="K32" s="27">
        <f t="shared" ref="K32:K34" si="26">J32/A32</f>
        <v>2028.6620755682493</v>
      </c>
    </row>
    <row r="33" spans="1:11" x14ac:dyDescent="0.3">
      <c r="A33" s="18">
        <f>'Passenger transport data'!I5</f>
        <v>10.001017293997965</v>
      </c>
      <c r="B33" s="1">
        <f t="shared" ref="B33:B34" si="27">C$7*A33</f>
        <v>800.08138351983712</v>
      </c>
      <c r="C33" s="76">
        <f t="shared" ref="C33:C34" si="28">B33*C$5/100</f>
        <v>0.32003255340793485</v>
      </c>
      <c r="D33" s="77"/>
      <c r="E33" s="78"/>
      <c r="F33" s="79">
        <f t="shared" ref="F33:F34" si="29">F$31+C33</f>
        <v>6.3698379818257296</v>
      </c>
      <c r="G33" s="80"/>
      <c r="H33" s="27">
        <f t="shared" ref="H33:H34" si="30">F33/A33</f>
        <v>0.63691900479449626</v>
      </c>
      <c r="I33" s="1">
        <f t="shared" ref="I33:I34" si="31">C$6*B33</f>
        <v>80.008138351983717</v>
      </c>
      <c r="J33" s="1">
        <f t="shared" ref="J33:J34" si="32">F33*(I33+J$31)</f>
        <v>7028.2898121583894</v>
      </c>
      <c r="K33" s="27">
        <f t="shared" si="26"/>
        <v>702.75749011816674</v>
      </c>
    </row>
    <row r="34" spans="1:11" x14ac:dyDescent="0.3">
      <c r="A34" s="18">
        <f>'Passenger transport data'!J5</f>
        <v>16.821711088504575</v>
      </c>
      <c r="B34" s="1">
        <f t="shared" si="27"/>
        <v>1345.7368870803659</v>
      </c>
      <c r="C34" s="76">
        <f t="shared" si="28"/>
        <v>0.53829475483214639</v>
      </c>
      <c r="D34" s="77"/>
      <c r="E34" s="78"/>
      <c r="F34" s="79">
        <f t="shared" si="29"/>
        <v>6.5881001832499413</v>
      </c>
      <c r="G34" s="80"/>
      <c r="H34" s="27">
        <f t="shared" si="30"/>
        <v>0.39164269012752456</v>
      </c>
      <c r="I34" s="1">
        <f t="shared" si="31"/>
        <v>134.5736887080366</v>
      </c>
      <c r="J34" s="1">
        <f t="shared" si="32"/>
        <v>7628.597147145445</v>
      </c>
      <c r="K34" s="27">
        <f t="shared" si="26"/>
        <v>453.49709711508405</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227.07681344607934</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0.78034661539737582</v>
      </c>
      <c r="G11" s="98"/>
      <c r="H11" s="27">
        <f>F11/A11</f>
        <v>0.78034661539737582</v>
      </c>
      <c r="I11" s="1">
        <v>0</v>
      </c>
      <c r="J11" s="1">
        <f>C$8*F11</f>
        <v>177.19862280786933</v>
      </c>
      <c r="K11" s="27">
        <f>J11/A11</f>
        <v>177.19862280786933</v>
      </c>
    </row>
    <row r="12" spans="1:11" x14ac:dyDescent="0.3">
      <c r="A12" s="1">
        <v>2</v>
      </c>
      <c r="B12" s="1">
        <f>B11+C$7</f>
        <v>80</v>
      </c>
      <c r="C12" s="82">
        <f>C$5*B12/100</f>
        <v>3.2000000000000001E-2</v>
      </c>
      <c r="D12" s="82"/>
      <c r="E12" s="82"/>
      <c r="F12" s="82">
        <f>F$11+C12</f>
        <v>0.81234661539737585</v>
      </c>
      <c r="G12" s="82"/>
      <c r="H12" s="27">
        <f t="shared" ref="H12:H15" si="0">F12/A12</f>
        <v>0.40617330769868792</v>
      </c>
      <c r="I12" s="1">
        <f>C$6*B12</f>
        <v>8</v>
      </c>
      <c r="J12" s="1">
        <f>F12*(I12+J$11)</f>
        <v>150.4454744142279</v>
      </c>
      <c r="K12" s="27">
        <f t="shared" ref="K12:K15" si="1">J12/A12</f>
        <v>75.222737207113951</v>
      </c>
    </row>
    <row r="13" spans="1:11" x14ac:dyDescent="0.3">
      <c r="A13" s="1">
        <v>3</v>
      </c>
      <c r="B13" s="1">
        <f t="shared" ref="B13:B15" si="2">B12+C$7</f>
        <v>160</v>
      </c>
      <c r="C13" s="82">
        <f>C$5*B13/100</f>
        <v>6.4000000000000001E-2</v>
      </c>
      <c r="D13" s="82"/>
      <c r="E13" s="82"/>
      <c r="F13" s="82">
        <f t="shared" ref="F13:F15" si="3">F$11+C13</f>
        <v>0.84434661539737577</v>
      </c>
      <c r="G13" s="82"/>
      <c r="H13" s="27">
        <f t="shared" si="0"/>
        <v>0.28144887179912526</v>
      </c>
      <c r="I13" s="1">
        <f t="shared" ref="I13:I15" si="4">C$6*B13</f>
        <v>16</v>
      </c>
      <c r="J13" s="1">
        <f t="shared" ref="J13:J15" si="5">F13*(I13+J$11)</f>
        <v>163.1266032672587</v>
      </c>
      <c r="K13" s="27">
        <f t="shared" si="1"/>
        <v>54.37553442241957</v>
      </c>
    </row>
    <row r="14" spans="1:11" x14ac:dyDescent="0.3">
      <c r="A14" s="1">
        <v>4</v>
      </c>
      <c r="B14" s="1">
        <f t="shared" si="2"/>
        <v>240</v>
      </c>
      <c r="C14" s="82">
        <f>C$5*B14/100</f>
        <v>9.6000000000000002E-2</v>
      </c>
      <c r="D14" s="82"/>
      <c r="E14" s="82"/>
      <c r="F14" s="82">
        <f t="shared" si="3"/>
        <v>0.87634661539737579</v>
      </c>
      <c r="G14" s="82"/>
      <c r="H14" s="27">
        <f t="shared" si="0"/>
        <v>0.21908665384934395</v>
      </c>
      <c r="I14" s="1">
        <f t="shared" si="4"/>
        <v>24</v>
      </c>
      <c r="J14" s="1">
        <f t="shared" si="5"/>
        <v>176.31973212028953</v>
      </c>
      <c r="K14" s="27">
        <f t="shared" si="1"/>
        <v>44.079933030072382</v>
      </c>
    </row>
    <row r="15" spans="1:11" x14ac:dyDescent="0.3">
      <c r="A15" s="1">
        <v>5</v>
      </c>
      <c r="B15" s="1">
        <f t="shared" si="2"/>
        <v>320</v>
      </c>
      <c r="C15" s="82">
        <f>C$5*B15/100</f>
        <v>0.128</v>
      </c>
      <c r="D15" s="82"/>
      <c r="E15" s="82"/>
      <c r="F15" s="82">
        <f t="shared" si="3"/>
        <v>0.90834661539737582</v>
      </c>
      <c r="G15" s="82"/>
      <c r="H15" s="27">
        <f t="shared" si="0"/>
        <v>0.18166932307947517</v>
      </c>
      <c r="I15" s="1">
        <f t="shared" si="4"/>
        <v>32</v>
      </c>
      <c r="J15" s="1">
        <f t="shared" si="5"/>
        <v>190.02486097332039</v>
      </c>
      <c r="K15" s="27">
        <f t="shared" si="1"/>
        <v>38.004972194664077</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0.49446129000533723</v>
      </c>
      <c r="G17" s="98"/>
      <c r="H17" s="27">
        <f>F17/A17</f>
        <v>0.49446129000533723</v>
      </c>
      <c r="I17" s="1">
        <v>0</v>
      </c>
      <c r="J17" s="1">
        <f>C$8*F17</f>
        <v>112.28069410684969</v>
      </c>
      <c r="K17" s="27">
        <f>J17/A17</f>
        <v>112.28069410684969</v>
      </c>
    </row>
    <row r="18" spans="1:11" x14ac:dyDescent="0.3">
      <c r="A18" s="1">
        <v>2</v>
      </c>
      <c r="B18" s="1">
        <f>C7+B17</f>
        <v>80</v>
      </c>
      <c r="C18" s="82">
        <f>C$5*B18/100</f>
        <v>3.2000000000000001E-2</v>
      </c>
      <c r="D18" s="82"/>
      <c r="E18" s="82"/>
      <c r="F18" s="82">
        <f>F17+C18</f>
        <v>0.52646129000533726</v>
      </c>
      <c r="G18" s="82"/>
      <c r="H18" s="27">
        <f>F18/A18</f>
        <v>0.26323064500266863</v>
      </c>
      <c r="I18" s="1">
        <f>C6*B18</f>
        <v>8</v>
      </c>
      <c r="J18" s="1">
        <f>F18*(I18+J17)</f>
        <v>63.323129382229453</v>
      </c>
      <c r="K18" s="27">
        <f>J18/A18</f>
        <v>31.661564691114727</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6.0498054284177947</v>
      </c>
      <c r="G20" s="95"/>
      <c r="H20" s="30">
        <f>F20/A20</f>
        <v>6.0498054284177947</v>
      </c>
      <c r="I20" s="1">
        <v>0</v>
      </c>
      <c r="J20" s="1">
        <f>C$8*F20</f>
        <v>1373.7705386539058</v>
      </c>
      <c r="K20" s="1">
        <f>J20/A20</f>
        <v>1373.7705386539058</v>
      </c>
    </row>
    <row r="21" spans="1:11" x14ac:dyDescent="0.3">
      <c r="A21" s="18">
        <f>'Passenger transport data'!H5</f>
        <v>3.1803234994913527</v>
      </c>
      <c r="B21" s="1">
        <f>C$7*A21</f>
        <v>254.42587995930822</v>
      </c>
      <c r="C21" s="76">
        <f>B21*C$5/100</f>
        <v>0.10177035198372328</v>
      </c>
      <c r="D21" s="77"/>
      <c r="E21" s="78"/>
      <c r="F21" s="96">
        <f>F$20+C21</f>
        <v>6.1515757804015179</v>
      </c>
      <c r="G21" s="97"/>
      <c r="H21" s="27">
        <f t="shared" ref="H21:H23" si="6">F21/A21</f>
        <v>1.9342610213663405</v>
      </c>
      <c r="I21" s="1">
        <f>C$6*B21</f>
        <v>25.442587995930822</v>
      </c>
      <c r="J21" s="1">
        <f>F21*(I21+J$20)</f>
        <v>8607.3655815190159</v>
      </c>
      <c r="K21" s="27">
        <f t="shared" ref="K21:K23" si="7">J21/A21</f>
        <v>2706.4434114629034</v>
      </c>
    </row>
    <row r="22" spans="1:11" x14ac:dyDescent="0.3">
      <c r="A22" s="18">
        <f>'Passenger transport data'!I5</f>
        <v>10.001017293997965</v>
      </c>
      <c r="B22" s="1">
        <f t="shared" ref="B22:B23" si="8">C$7*A22</f>
        <v>800.08138351983712</v>
      </c>
      <c r="C22" s="76">
        <f t="shared" ref="C22:C23" si="9">B22*C$5/100</f>
        <v>0.32003255340793485</v>
      </c>
      <c r="D22" s="77"/>
      <c r="E22" s="78"/>
      <c r="F22" s="76">
        <f>F$20+C22</f>
        <v>6.3698379818257296</v>
      </c>
      <c r="G22" s="78"/>
      <c r="H22" s="27">
        <f t="shared" si="6"/>
        <v>0.63691900479449626</v>
      </c>
      <c r="I22" s="1">
        <f t="shared" ref="I22:I23" si="10">C$6*B22</f>
        <v>80.008138351983717</v>
      </c>
      <c r="J22" s="1">
        <f t="shared" ref="J22:J23" si="11">F22*(I22+J$20)</f>
        <v>9260.3346339604741</v>
      </c>
      <c r="K22" s="27">
        <f t="shared" si="7"/>
        <v>925.93926815005057</v>
      </c>
    </row>
    <row r="23" spans="1:11" x14ac:dyDescent="0.3">
      <c r="A23" s="18">
        <f>'Passenger transport data'!J5</f>
        <v>16.821711088504575</v>
      </c>
      <c r="B23" s="1">
        <f t="shared" si="8"/>
        <v>1345.7368870803659</v>
      </c>
      <c r="C23" s="76">
        <f t="shared" si="9"/>
        <v>0.53829475483214639</v>
      </c>
      <c r="D23" s="77"/>
      <c r="E23" s="78"/>
      <c r="F23" s="76">
        <f t="shared" ref="F23" si="12">F$20+C23</f>
        <v>6.5881001832499413</v>
      </c>
      <c r="G23" s="78"/>
      <c r="H23" s="27">
        <f t="shared" si="6"/>
        <v>0.39164269012752456</v>
      </c>
      <c r="I23" s="1">
        <f t="shared" si="10"/>
        <v>134.5736887080366</v>
      </c>
      <c r="J23" s="1">
        <f t="shared" si="11"/>
        <v>9937.1228806872041</v>
      </c>
      <c r="K23" s="27">
        <f t="shared" si="7"/>
        <v>590.73199084235364</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27.330384523586883</v>
      </c>
      <c r="B26" s="1">
        <f>C$7*A26</f>
        <v>2186.4307618869507</v>
      </c>
      <c r="C26" s="76">
        <f>B26*C$5/100</f>
        <v>0.87457230475478032</v>
      </c>
      <c r="D26" s="77"/>
      <c r="E26" s="78"/>
      <c r="F26" s="79">
        <f>F$25+C26</f>
        <v>20.098962304754785</v>
      </c>
      <c r="G26" s="80"/>
      <c r="H26" s="27">
        <f t="shared" ref="H26:H28" si="13">F26/A26</f>
        <v>0.73540722734467279</v>
      </c>
      <c r="I26" s="1">
        <f>C$6*B26</f>
        <v>218.64307618869509</v>
      </c>
      <c r="J26" s="1">
        <f>F26*(I26+J$25)</f>
        <v>107387.61148476717</v>
      </c>
      <c r="K26" s="27">
        <f t="shared" ref="K26:K28" si="14">J26/A26</f>
        <v>3929.2389535203456</v>
      </c>
    </row>
    <row r="27" spans="1:11" x14ac:dyDescent="0.3">
      <c r="A27" s="37">
        <f>'Passenger transport data'!I7</f>
        <v>85.944605420084528</v>
      </c>
      <c r="B27" s="1">
        <f t="shared" ref="B27" si="15">C$7*A27</f>
        <v>6875.5684336067625</v>
      </c>
      <c r="C27" s="76">
        <f t="shared" ref="C27:C28" si="16">B27*C$5/100</f>
        <v>2.7502273734427054</v>
      </c>
      <c r="D27" s="77"/>
      <c r="E27" s="78"/>
      <c r="F27" s="79">
        <f t="shared" ref="F27:F28" si="17">F$25+C27</f>
        <v>21.974617373442708</v>
      </c>
      <c r="G27" s="80"/>
      <c r="H27" s="27">
        <f t="shared" si="13"/>
        <v>0.25568349829560594</v>
      </c>
      <c r="I27" s="1">
        <f t="shared" ref="I27" si="18">C$6*B27</f>
        <v>687.55684336067634</v>
      </c>
      <c r="J27" s="1">
        <f t="shared" ref="J27:J28" si="19">F27*(I27+J$25)</f>
        <v>127713.33036207545</v>
      </c>
      <c r="K27" s="27">
        <f t="shared" si="14"/>
        <v>1485.9958893037156</v>
      </c>
    </row>
    <row r="28" spans="1:11" x14ac:dyDescent="0.3">
      <c r="A28" s="37">
        <f>'Passenger transport data'!J7</f>
        <v>144.55882631658216</v>
      </c>
      <c r="B28" s="1">
        <f>C$7*A28</f>
        <v>11564.706105326572</v>
      </c>
      <c r="C28" s="76">
        <f t="shared" si="16"/>
        <v>4.6258824421306288</v>
      </c>
      <c r="D28" s="77"/>
      <c r="E28" s="78"/>
      <c r="F28" s="79">
        <f t="shared" si="17"/>
        <v>23.850272442130631</v>
      </c>
      <c r="G28" s="80"/>
      <c r="H28" s="27">
        <f t="shared" si="13"/>
        <v>0.16498662205446252</v>
      </c>
      <c r="I28" s="1">
        <f>C$6*B28</f>
        <v>1156.4706105326572</v>
      </c>
      <c r="J28" s="1">
        <f t="shared" si="19"/>
        <v>149798.09020773103</v>
      </c>
      <c r="K28" s="27">
        <f t="shared" si="14"/>
        <v>1036.2431269307274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227.07681344607934</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13</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0.35895963378136081</v>
      </c>
      <c r="G11" s="98"/>
      <c r="H11" s="27">
        <f>F11/A11</f>
        <v>0.35895963378136081</v>
      </c>
      <c r="I11" s="1">
        <v>0</v>
      </c>
      <c r="J11" s="1">
        <f>C$8*F11</f>
        <v>4.6664752391576902</v>
      </c>
      <c r="K11" s="27">
        <f>J11/A11</f>
        <v>4.6664752391576902</v>
      </c>
    </row>
    <row r="12" spans="1:11" x14ac:dyDescent="0.3">
      <c r="A12" s="1">
        <v>2</v>
      </c>
      <c r="B12" s="1">
        <f>B11+C$7</f>
        <v>70</v>
      </c>
      <c r="C12" s="82">
        <f t="shared" ref="C12:C15" si="0">C$4*B12/100</f>
        <v>5.9500000000000004E-3</v>
      </c>
      <c r="D12" s="82"/>
      <c r="E12" s="82"/>
      <c r="F12" s="82">
        <f>F$11+C12</f>
        <v>0.36490963378136082</v>
      </c>
      <c r="G12" s="82"/>
      <c r="H12" s="27">
        <f t="shared" ref="H12:H15" si="1">F12/A12</f>
        <v>0.18245481689068041</v>
      </c>
      <c r="I12" s="1">
        <f>C$6*B12</f>
        <v>1.9599999999999997</v>
      </c>
      <c r="J12" s="1">
        <f>F12*(I12+J$11)</f>
        <v>2.418064652782288</v>
      </c>
      <c r="K12" s="27">
        <f t="shared" ref="K12:K15" si="2">J12/A12</f>
        <v>1.209032326391144</v>
      </c>
    </row>
    <row r="13" spans="1:11" x14ac:dyDescent="0.3">
      <c r="A13" s="1">
        <v>3</v>
      </c>
      <c r="B13" s="1">
        <f t="shared" ref="B13:B15" si="3">B12+C$7</f>
        <v>140</v>
      </c>
      <c r="C13" s="82">
        <f t="shared" si="0"/>
        <v>1.1900000000000001E-2</v>
      </c>
      <c r="D13" s="82"/>
      <c r="E13" s="82"/>
      <c r="F13" s="82">
        <f t="shared" ref="F13:F15" si="4">F$11+C13</f>
        <v>0.37085963378136083</v>
      </c>
      <c r="G13" s="82"/>
      <c r="H13" s="27">
        <f t="shared" si="1"/>
        <v>0.12361987792712027</v>
      </c>
      <c r="I13" s="1">
        <f t="shared" ref="I13:I15" si="5">C$6*B13</f>
        <v>3.9199999999999995</v>
      </c>
      <c r="J13" s="1">
        <f t="shared" ref="J13:J15" si="6">F13*(I13+J$11)</f>
        <v>3.1843770626667434</v>
      </c>
      <c r="K13" s="27">
        <f t="shared" si="2"/>
        <v>1.0614590208889145</v>
      </c>
    </row>
    <row r="14" spans="1:11" x14ac:dyDescent="0.3">
      <c r="A14" s="1">
        <v>4</v>
      </c>
      <c r="B14" s="1">
        <f t="shared" si="3"/>
        <v>210</v>
      </c>
      <c r="C14" s="82">
        <f t="shared" si="0"/>
        <v>1.7850000000000001E-2</v>
      </c>
      <c r="D14" s="82"/>
      <c r="E14" s="82"/>
      <c r="F14" s="82">
        <f t="shared" si="4"/>
        <v>0.37680963378136079</v>
      </c>
      <c r="G14" s="82"/>
      <c r="H14" s="27">
        <f t="shared" si="1"/>
        <v>9.4202408445340197E-2</v>
      </c>
      <c r="I14" s="1">
        <f t="shared" si="5"/>
        <v>5.879999999999999</v>
      </c>
      <c r="J14" s="1">
        <f t="shared" si="6"/>
        <v>3.9740134725511989</v>
      </c>
      <c r="K14" s="27">
        <f t="shared" si="2"/>
        <v>0.99350336813779971</v>
      </c>
    </row>
    <row r="15" spans="1:11" x14ac:dyDescent="0.3">
      <c r="A15" s="1">
        <v>5</v>
      </c>
      <c r="B15" s="1">
        <f t="shared" si="3"/>
        <v>280</v>
      </c>
      <c r="C15" s="82">
        <f t="shared" si="0"/>
        <v>2.3800000000000002E-2</v>
      </c>
      <c r="D15" s="82"/>
      <c r="E15" s="82"/>
      <c r="F15" s="82">
        <f t="shared" si="4"/>
        <v>0.3827596337813608</v>
      </c>
      <c r="G15" s="82"/>
      <c r="H15" s="27">
        <f t="shared" si="1"/>
        <v>7.6551926756272162E-2</v>
      </c>
      <c r="I15" s="1">
        <f t="shared" si="5"/>
        <v>7.839999999999999</v>
      </c>
      <c r="J15" s="1">
        <f t="shared" si="6"/>
        <v>4.786973882435654</v>
      </c>
      <c r="K15" s="27">
        <f t="shared" si="2"/>
        <v>0.95739477648713078</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0.39887386213102816</v>
      </c>
      <c r="G17" s="95"/>
      <c r="H17" s="27">
        <f>F17/A17</f>
        <v>0.39887386213102816</v>
      </c>
      <c r="I17" s="1">
        <v>0</v>
      </c>
      <c r="J17" s="1">
        <f>F17*(0.5*C$8+0.5*F$6)</f>
        <v>47.880182893674011</v>
      </c>
      <c r="K17" s="27">
        <f>J17/A17</f>
        <v>47.880182893674011</v>
      </c>
    </row>
    <row r="18" spans="1:11" x14ac:dyDescent="0.3">
      <c r="A18" s="1">
        <v>2</v>
      </c>
      <c r="B18" s="1">
        <f>C$7+B17</f>
        <v>70</v>
      </c>
      <c r="C18" s="76">
        <f>B18*(0.5*C$4+0.5*'Transport c&amp;e fuel vehicles'!C$5)/100</f>
        <v>1.6975000000000001E-2</v>
      </c>
      <c r="D18" s="77"/>
      <c r="E18" s="78"/>
      <c r="F18" s="76">
        <f>F$17+C18</f>
        <v>0.41584886213102817</v>
      </c>
      <c r="G18" s="78"/>
      <c r="H18" s="27">
        <f t="shared" ref="H18:H21" si="7">F18/A18</f>
        <v>0.20792443106551409</v>
      </c>
      <c r="I18" s="1">
        <f>B18*(0.5*C$6+0.5*'Transport c&amp;e fuel vehicles'!C$6)/100</f>
        <v>4.4800000000000006E-2</v>
      </c>
      <c r="J18" s="1">
        <f>F18*(I18+J$17)</f>
        <v>19.929549603983329</v>
      </c>
      <c r="K18" s="27">
        <f t="shared" ref="K18:K21" si="8">J18/A18</f>
        <v>9.9647748019916644</v>
      </c>
    </row>
    <row r="19" spans="1:11" x14ac:dyDescent="0.3">
      <c r="A19" s="1">
        <v>3</v>
      </c>
      <c r="B19" s="1">
        <f t="shared" ref="B19:B21" si="9">C$7+B18</f>
        <v>140</v>
      </c>
      <c r="C19" s="76">
        <f>B19*(0.5*C$4+0.5*'Transport c&amp;e fuel vehicles'!C$5)/100</f>
        <v>3.3950000000000001E-2</v>
      </c>
      <c r="D19" s="77"/>
      <c r="E19" s="78"/>
      <c r="F19" s="76">
        <f t="shared" ref="F19:F21" si="10">F$17+C19</f>
        <v>0.43282386213102814</v>
      </c>
      <c r="G19" s="78"/>
      <c r="H19" s="27">
        <f t="shared" si="7"/>
        <v>0.14427462071034272</v>
      </c>
      <c r="I19" s="1">
        <f>B19*(0.5*C$6+0.5*'Transport c&amp;e fuel vehicles'!C$6)/100</f>
        <v>8.9600000000000013E-2</v>
      </c>
      <c r="J19" s="1">
        <f t="shared" ref="J19:J21" si="11">F19*(I19+J$17)</f>
        <v>20.762466697626913</v>
      </c>
      <c r="K19" s="27">
        <f t="shared" si="8"/>
        <v>6.9208222325423039</v>
      </c>
    </row>
    <row r="20" spans="1:11" x14ac:dyDescent="0.3">
      <c r="A20" s="1">
        <v>4</v>
      </c>
      <c r="B20" s="1">
        <f t="shared" si="9"/>
        <v>210</v>
      </c>
      <c r="C20" s="76">
        <f>B20*(0.5*C$4+0.5*'Transport c&amp;e fuel vehicles'!C$5)/100</f>
        <v>5.0925000000000005E-2</v>
      </c>
      <c r="D20" s="77"/>
      <c r="E20" s="78"/>
      <c r="F20" s="76">
        <f t="shared" si="10"/>
        <v>0.44979886213102815</v>
      </c>
      <c r="G20" s="78"/>
      <c r="H20" s="27">
        <f t="shared" si="7"/>
        <v>0.11244971553275704</v>
      </c>
      <c r="I20" s="1">
        <f>B20*(0.5*C$6+0.5*'Transport c&amp;e fuel vehicles'!C$6)/100</f>
        <v>0.13439999999999999</v>
      </c>
      <c r="J20" s="1">
        <f t="shared" si="11"/>
        <v>21.5969047512705</v>
      </c>
      <c r="K20" s="27">
        <f t="shared" si="8"/>
        <v>5.3992261878176251</v>
      </c>
    </row>
    <row r="21" spans="1:11" x14ac:dyDescent="0.3">
      <c r="A21" s="1">
        <v>5</v>
      </c>
      <c r="B21" s="1">
        <f t="shared" si="9"/>
        <v>280</v>
      </c>
      <c r="C21" s="76">
        <f>B21*(0.5*C$4+0.5*'Transport c&amp;e fuel vehicles'!C$5)/100</f>
        <v>6.7900000000000002E-2</v>
      </c>
      <c r="D21" s="77"/>
      <c r="E21" s="78"/>
      <c r="F21" s="76">
        <f t="shared" si="10"/>
        <v>0.46677386213102817</v>
      </c>
      <c r="G21" s="78"/>
      <c r="H21" s="27">
        <f t="shared" si="7"/>
        <v>9.3354772426205629E-2</v>
      </c>
      <c r="I21" s="1">
        <f>B21*(0.5*C$6+0.5*'Transport c&amp;e fuel vehicles'!C$6)/100</f>
        <v>0.17920000000000003</v>
      </c>
      <c r="J21" s="1">
        <f t="shared" si="11"/>
        <v>22.432863764914089</v>
      </c>
      <c r="K21" s="27">
        <f t="shared" si="8"/>
        <v>4.4865727529828181</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0.14525343320455067</v>
      </c>
      <c r="G23" s="98"/>
      <c r="H23" s="27">
        <f>F23/A23</f>
        <v>0.14525343320455067</v>
      </c>
      <c r="I23" s="1">
        <v>0</v>
      </c>
      <c r="J23" s="1">
        <f>C$8*F23</f>
        <v>1.8882946316591587</v>
      </c>
      <c r="K23" s="27">
        <f>J23/A23</f>
        <v>1.8882946316591587</v>
      </c>
    </row>
    <row r="24" spans="1:11" x14ac:dyDescent="0.3">
      <c r="A24" s="1">
        <v>2</v>
      </c>
      <c r="B24" s="1">
        <f>C7+B23</f>
        <v>70</v>
      </c>
      <c r="C24" s="82">
        <f>C$5*B24/100</f>
        <v>0</v>
      </c>
      <c r="D24" s="82"/>
      <c r="E24" s="82"/>
      <c r="F24" s="82">
        <f>F23+C24</f>
        <v>0.14525343320455067</v>
      </c>
      <c r="G24" s="82"/>
      <c r="H24" s="27">
        <f>F24/A24</f>
        <v>7.2626716602275335E-2</v>
      </c>
      <c r="I24" s="1">
        <f>C6*B24</f>
        <v>1.9599999999999997</v>
      </c>
      <c r="J24" s="1">
        <f>F24*(I24+J23)</f>
        <v>0.55897800723113444</v>
      </c>
      <c r="K24" s="27">
        <f>J24/A24</f>
        <v>0.27948900361556722</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1.3043591343799449E-2</v>
      </c>
      <c r="G26" s="95"/>
      <c r="H26" s="27">
        <f>F26/A26</f>
        <v>1.3043591343799449E-2</v>
      </c>
      <c r="I26" s="1">
        <v>0</v>
      </c>
      <c r="J26" s="1">
        <f>C$8*F26</f>
        <v>0.16956668746939285</v>
      </c>
      <c r="K26" s="27">
        <f>J26/A26</f>
        <v>0.16956668746939285</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2.8278506033357204E-2</v>
      </c>
      <c r="G28" s="95"/>
      <c r="H28" s="27">
        <f>F28/A28</f>
        <v>2.8278506033357204E-2</v>
      </c>
      <c r="I28" s="1">
        <v>0</v>
      </c>
      <c r="J28" s="1">
        <f>C$8*F28</f>
        <v>0.36762057843364365</v>
      </c>
      <c r="K28" s="27">
        <f>J28/A28</f>
        <v>0.36762057843364365</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4.540329681274855</v>
      </c>
      <c r="G30" s="95"/>
      <c r="H30" s="2">
        <f>F30/A30</f>
        <v>4.540329681274855</v>
      </c>
      <c r="I30" s="1">
        <v>0</v>
      </c>
      <c r="J30" s="1">
        <f>C$8*F30</f>
        <v>59.024285856573115</v>
      </c>
      <c r="K30" s="27">
        <f>J30/A30</f>
        <v>59.024285856573115</v>
      </c>
    </row>
    <row r="31" spans="1:11" x14ac:dyDescent="0.3">
      <c r="A31" s="18">
        <f>'Passenger transport data'!H6</f>
        <v>24.843550271669709</v>
      </c>
      <c r="B31" s="1">
        <f>C$7*A31</f>
        <v>1739.0485190168797</v>
      </c>
      <c r="C31" s="76">
        <f t="shared" ref="C31:C33" si="12">C$4*B31/100</f>
        <v>0.14781912411643477</v>
      </c>
      <c r="D31" s="77"/>
      <c r="E31" s="78"/>
      <c r="F31" s="76">
        <f>F$30+C31</f>
        <v>4.6881488053912896</v>
      </c>
      <c r="G31" s="78"/>
      <c r="H31" s="27">
        <f t="shared" ref="H31:H33" si="13">F31/A31</f>
        <v>0.18870687780632586</v>
      </c>
      <c r="I31" s="1">
        <f>C$6*B31</f>
        <v>48.693358532472629</v>
      </c>
      <c r="J31" s="1">
        <f>F31*(I31+J$30)</f>
        <v>504.99634586206855</v>
      </c>
      <c r="K31" s="27">
        <f t="shared" ref="K31:K33" si="14">J31/A31</f>
        <v>20.32706035730892</v>
      </c>
    </row>
    <row r="32" spans="1:11" x14ac:dyDescent="0.3">
      <c r="A32" s="18">
        <f>'Passenger transport data'!I6</f>
        <v>78.124371923489647</v>
      </c>
      <c r="B32" s="1">
        <f>C$7*A32</f>
        <v>5468.706034644275</v>
      </c>
      <c r="C32" s="76">
        <f t="shared" si="12"/>
        <v>0.4648400129447634</v>
      </c>
      <c r="D32" s="77"/>
      <c r="E32" s="78"/>
      <c r="F32" s="76">
        <f t="shared" ref="F32:F33" si="15">F$30+C32</f>
        <v>5.0051696942196182</v>
      </c>
      <c r="G32" s="78"/>
      <c r="H32" s="27">
        <f t="shared" si="13"/>
        <v>6.4066687142411635E-2</v>
      </c>
      <c r="I32" s="1">
        <f t="shared" ref="I32:I33" si="16">C$6*B32</f>
        <v>153.12376897003969</v>
      </c>
      <c r="J32" s="1">
        <f t="shared" ref="J32:J33" si="17">F32*(I32+J$30)</f>
        <v>1061.8370147058044</v>
      </c>
      <c r="K32" s="27">
        <f t="shared" si="14"/>
        <v>13.591623056447792</v>
      </c>
    </row>
    <row r="33" spans="1:11" x14ac:dyDescent="0.3">
      <c r="A33" s="18">
        <f>'Passenger transport data'!J6</f>
        <v>131.4051935753096</v>
      </c>
      <c r="B33" s="1">
        <f>C$7*A33</f>
        <v>9198.3635502716716</v>
      </c>
      <c r="C33" s="76">
        <f t="shared" si="12"/>
        <v>0.78186090177309209</v>
      </c>
      <c r="D33" s="77"/>
      <c r="E33" s="78"/>
      <c r="F33" s="76">
        <f t="shared" si="15"/>
        <v>5.3221905830479468</v>
      </c>
      <c r="G33" s="78"/>
      <c r="H33" s="27">
        <f t="shared" si="13"/>
        <v>4.0502132664929621E-2</v>
      </c>
      <c r="I33" s="1">
        <f t="shared" si="16"/>
        <v>257.5541794076068</v>
      </c>
      <c r="J33" s="1">
        <f t="shared" si="17"/>
        <v>1684.8909266247897</v>
      </c>
      <c r="K33" s="27">
        <f t="shared" si="14"/>
        <v>12.822102998989628</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13.685511133773641</v>
      </c>
      <c r="G35" s="95"/>
      <c r="H35" s="2">
        <f>F35/A35</f>
        <v>13.685511133773641</v>
      </c>
      <c r="I35" s="1">
        <v>0</v>
      </c>
      <c r="J35" s="34">
        <f>C$8*F35</f>
        <v>177.91164473905732</v>
      </c>
      <c r="K35" s="27">
        <f>J35/A35</f>
        <v>177.91164473905732</v>
      </c>
    </row>
    <row r="36" spans="1:11" x14ac:dyDescent="0.3">
      <c r="A36" s="18">
        <f>'Passenger transport data'!H7</f>
        <v>27.330384523586883</v>
      </c>
      <c r="B36" s="1">
        <f>C$7*A36</f>
        <v>1913.1269166510817</v>
      </c>
      <c r="C36" s="76">
        <f t="shared" ref="C36:C38" si="18">C$4*B36/100</f>
        <v>0.16261578791534195</v>
      </c>
      <c r="D36" s="77"/>
      <c r="E36" s="78"/>
      <c r="F36" s="76">
        <f>F$35+C36</f>
        <v>13.848126921688984</v>
      </c>
      <c r="G36" s="78"/>
      <c r="H36" s="27">
        <f t="shared" ref="H36:H38" si="19">F36/A36</f>
        <v>0.50669345357134166</v>
      </c>
      <c r="I36" s="1">
        <f>C$6*B36</f>
        <v>53.567553666230282</v>
      </c>
      <c r="J36" s="34">
        <f>F36*(I36+J$35)</f>
        <v>3205.553319247249</v>
      </c>
      <c r="K36" s="27">
        <f t="shared" ref="K36:K38" si="20">J36/A36</f>
        <v>117.28899446990097</v>
      </c>
    </row>
    <row r="37" spans="1:11" x14ac:dyDescent="0.3">
      <c r="A37" s="18">
        <f>'Passenger transport data'!I7</f>
        <v>85.944605420084528</v>
      </c>
      <c r="B37" s="1">
        <f t="shared" ref="B37:B38" si="21">C$7*A37</f>
        <v>6016.1223794059169</v>
      </c>
      <c r="C37" s="76">
        <f t="shared" si="18"/>
        <v>0.51137040224950292</v>
      </c>
      <c r="D37" s="77"/>
      <c r="E37" s="78"/>
      <c r="F37" s="76">
        <f t="shared" ref="F37:F38" si="22">F$35+C37</f>
        <v>14.196881536023144</v>
      </c>
      <c r="G37" s="78"/>
      <c r="H37" s="27">
        <f t="shared" si="19"/>
        <v>0.16518641823568664</v>
      </c>
      <c r="I37" s="1">
        <f t="shared" ref="I37:I38" si="23">C$6*B37</f>
        <v>168.45142662336565</v>
      </c>
      <c r="J37" s="34">
        <f t="shared" ref="J37:J38" si="24">F37*(I37+J$35)</f>
        <v>4917.2754925854488</v>
      </c>
      <c r="K37" s="27">
        <f t="shared" si="20"/>
        <v>57.214475167470177</v>
      </c>
    </row>
    <row r="38" spans="1:11" x14ac:dyDescent="0.3">
      <c r="A38" s="18">
        <f>'Passenger transport data'!J7</f>
        <v>144.55882631658216</v>
      </c>
      <c r="B38" s="1">
        <f t="shared" si="21"/>
        <v>10119.117842160751</v>
      </c>
      <c r="C38" s="76">
        <f t="shared" si="18"/>
        <v>0.86012501658366391</v>
      </c>
      <c r="D38" s="77"/>
      <c r="E38" s="78"/>
      <c r="F38" s="76">
        <f t="shared" si="22"/>
        <v>14.545636150357305</v>
      </c>
      <c r="G38" s="78"/>
      <c r="H38" s="27">
        <f t="shared" si="19"/>
        <v>0.10062087885593737</v>
      </c>
      <c r="I38" s="1">
        <f t="shared" si="23"/>
        <v>283.33529958050099</v>
      </c>
      <c r="J38" s="34">
        <f t="shared" si="24"/>
        <v>6709.1302275364105</v>
      </c>
      <c r="K38" s="27">
        <f t="shared" si="20"/>
        <v>46.411072907049572</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22.589689590658573</v>
      </c>
      <c r="G40" s="95"/>
      <c r="H40" s="1">
        <f>F40/A40</f>
        <v>22.589689590658573</v>
      </c>
      <c r="I40" s="1">
        <v>0</v>
      </c>
      <c r="J40" s="1">
        <f>C$8*F40</f>
        <v>293.66596467856147</v>
      </c>
      <c r="K40" s="1">
        <f>J40/A40</f>
        <v>293.66596467856147</v>
      </c>
    </row>
    <row r="41" spans="1:11" x14ac:dyDescent="0.3">
      <c r="A41" s="18">
        <f>'Passenger transport data'!H8</f>
        <v>77.636094598967844</v>
      </c>
      <c r="B41" s="1">
        <f>C$7*A41</f>
        <v>5434.5266219277491</v>
      </c>
      <c r="C41" s="76">
        <f t="shared" ref="C41:C43" si="25">B41*C$4/100</f>
        <v>0.46193476286385876</v>
      </c>
      <c r="D41" s="77"/>
      <c r="E41" s="78"/>
      <c r="F41" s="76">
        <f>F$40+C41</f>
        <v>23.051624353522431</v>
      </c>
      <c r="G41" s="78"/>
      <c r="H41" s="27">
        <f t="shared" ref="H41:H43" si="26">F41/A41</f>
        <v>0.29691890701865492</v>
      </c>
      <c r="I41" s="1">
        <f>C$6*B41</f>
        <v>152.16674541397697</v>
      </c>
      <c r="J41" s="1">
        <f>F41*(I41+J$40)</f>
        <v>10277.168157566064</v>
      </c>
      <c r="K41" s="27">
        <f t="shared" ref="K41:K43" si="27">J41/A41</f>
        <v>132.37616099384135</v>
      </c>
    </row>
    <row r="42" spans="1:11" x14ac:dyDescent="0.3">
      <c r="A42" s="18">
        <f>'Passenger transport data'!I8</f>
        <v>244.13866226090514</v>
      </c>
      <c r="B42" s="1">
        <f t="shared" ref="B42:B43" si="28">C$7*A42</f>
        <v>17089.70635826336</v>
      </c>
      <c r="C42" s="76">
        <f t="shared" si="25"/>
        <v>1.4526250404523855</v>
      </c>
      <c r="D42" s="77"/>
      <c r="E42" s="78"/>
      <c r="F42" s="76">
        <f>F$40+C42</f>
        <v>24.042314631110958</v>
      </c>
      <c r="G42" s="78"/>
      <c r="H42" s="27">
        <f t="shared" si="26"/>
        <v>9.8478112431932274E-2</v>
      </c>
      <c r="I42" s="1">
        <f t="shared" ref="I42:I43" si="29">C$6*B42</f>
        <v>478.51177803137404</v>
      </c>
      <c r="J42" s="1">
        <f t="shared" ref="J42:J43" si="30">F42*(I42+J$40)</f>
        <v>18564.940241373315</v>
      </c>
      <c r="K42" s="27">
        <f t="shared" si="27"/>
        <v>76.042606564024709</v>
      </c>
    </row>
    <row r="43" spans="1:11" x14ac:dyDescent="0.3">
      <c r="A43" s="18">
        <f>'Passenger transport data'!J8</f>
        <v>410.6412299228424</v>
      </c>
      <c r="B43" s="1">
        <f t="shared" si="28"/>
        <v>28744.886094598969</v>
      </c>
      <c r="C43" s="76">
        <f t="shared" si="25"/>
        <v>2.4433153180409124</v>
      </c>
      <c r="D43" s="77"/>
      <c r="E43" s="78"/>
      <c r="F43" s="76">
        <f t="shared" ref="F43" si="31">F$40+C43</f>
        <v>25.033004908699485</v>
      </c>
      <c r="G43" s="78"/>
      <c r="H43" s="27">
        <f t="shared" si="26"/>
        <v>6.0960768389971637E-2</v>
      </c>
      <c r="I43" s="1">
        <f t="shared" si="29"/>
        <v>804.8568106487711</v>
      </c>
      <c r="J43" s="1">
        <f t="shared" si="30"/>
        <v>27499.326027087296</v>
      </c>
      <c r="K43" s="27">
        <f t="shared" si="27"/>
        <v>66.966792477838368</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0.35895963378136081</v>
      </c>
    </row>
    <row r="8" spans="1:6" x14ac:dyDescent="0.3">
      <c r="B8" s="1" t="s">
        <v>99</v>
      </c>
      <c r="C8" s="1">
        <v>6.96</v>
      </c>
      <c r="D8" s="1">
        <f t="shared" ref="D8:D10" si="0">C8/100</f>
        <v>6.9599999999999995E-2</v>
      </c>
      <c r="E8" s="1">
        <f>D8/D$7</f>
        <v>0.40465116279069768</v>
      </c>
      <c r="F8" s="1">
        <f>F$7*E8</f>
        <v>0.14525343320455067</v>
      </c>
    </row>
    <row r="9" spans="1:6" x14ac:dyDescent="0.3">
      <c r="B9" s="1" t="s">
        <v>100</v>
      </c>
      <c r="C9" s="1">
        <v>0.625</v>
      </c>
      <c r="D9" s="1">
        <f t="shared" si="0"/>
        <v>6.2500000000000003E-3</v>
      </c>
      <c r="E9" s="1">
        <f>D9/D$7</f>
        <v>3.6337209302325583E-2</v>
      </c>
      <c r="F9" s="1">
        <f t="shared" ref="F9:F10" si="1">F$7*E9</f>
        <v>1.3043591343799449E-2</v>
      </c>
    </row>
    <row r="10" spans="1:6" x14ac:dyDescent="0.3">
      <c r="B10" s="1" t="s">
        <v>101</v>
      </c>
      <c r="C10" s="1">
        <v>1.355</v>
      </c>
      <c r="D10" s="1">
        <f t="shared" si="0"/>
        <v>1.355E-2</v>
      </c>
      <c r="E10" s="1">
        <f>D10/D$7</f>
        <v>7.8779069767441867E-2</v>
      </c>
      <c r="F10" s="1">
        <f t="shared" si="1"/>
        <v>2.8278506033357204E-2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2022-06-29T10:27:16Z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