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0" documentId="8_{4C372892-E9C3-428B-950B-C5A505A38EBC}" xr6:coauthVersionLast="47" xr6:coauthVersionMax="47" xr10:uidLastSave="{E2261F70-548D-471D-A7EB-0E07BC22A1A8}"/>
  <bookViews>
    <workbookView xWindow="1152" yWindow="1152" windowWidth="14712" windowHeight="8880" firstSheet="4" activeTab="6"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7" i="4"/>
  <c r="B26" i="4"/>
  <c r="B25" i="4"/>
  <c r="B24" i="4"/>
  <c r="B22" i="4"/>
  <c r="B21" i="4"/>
  <c r="B20" i="4"/>
  <c r="B16" i="4"/>
  <c r="B13" i="4"/>
  <c r="B12" i="4"/>
  <c r="B11" i="4"/>
  <c r="B10" i="4"/>
  <c r="B8" i="4"/>
  <c r="B6" i="4"/>
  <c r="D10" i="1"/>
  <c r="B10" i="1"/>
  <c r="B4" i="1" l="1"/>
  <c r="B3" i="1"/>
  <c r="H6" i="12"/>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33" i="10"/>
  <c r="B33" i="10" s="1"/>
  <c r="A18" i="10"/>
  <c r="B18" i="10" s="1"/>
  <c r="A28" i="10"/>
  <c r="B2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A38" i="9"/>
  <c r="B38" i="9" s="1"/>
  <c r="A39" i="12"/>
  <c r="A28" i="8"/>
  <c r="B28" i="8" s="1"/>
  <c r="I27" i="8"/>
  <c r="C27" i="8"/>
  <c r="F27" i="8" s="1"/>
  <c r="A42" i="12"/>
  <c r="A33" i="9"/>
  <c r="B33" i="9" s="1"/>
  <c r="A51" i="12"/>
  <c r="A31" i="9"/>
  <c r="B31" i="9" s="1"/>
  <c r="A49" i="12"/>
  <c r="I23" i="10"/>
  <c r="C23" i="10"/>
  <c r="C13" i="10"/>
  <c r="I13" i="10"/>
  <c r="C28" i="10"/>
  <c r="I28" i="10"/>
  <c r="A21" i="8"/>
  <c r="B21" i="8" s="1"/>
  <c r="I21" i="8" s="1"/>
  <c r="A17" i="12"/>
  <c r="A22" i="10"/>
  <c r="B22" i="10" s="1"/>
  <c r="A12" i="10"/>
  <c r="B12" i="10" s="1"/>
  <c r="A32" i="10"/>
  <c r="B32" i="10" s="1"/>
  <c r="A17" i="10"/>
  <c r="B17" i="10" s="1"/>
  <c r="A27" i="10"/>
  <c r="B27" i="10" s="1"/>
  <c r="C18" i="10"/>
  <c r="I18" i="10"/>
  <c r="A19" i="12"/>
  <c r="A34" i="10"/>
  <c r="B34" i="10" s="1"/>
  <c r="A19" i="10"/>
  <c r="B19" i="10" s="1"/>
  <c r="A14" i="10"/>
  <c r="B14" i="10" s="1"/>
  <c r="A29" i="10"/>
  <c r="B29" i="10" s="1"/>
  <c r="A24" i="10"/>
  <c r="B24" i="10" s="1"/>
  <c r="I33" i="10"/>
  <c r="C33" i="10"/>
  <c r="A26" i="12"/>
  <c r="A34" i="12"/>
  <c r="A22" i="12"/>
  <c r="A30" i="12"/>
  <c r="C43" i="9"/>
  <c r="I43" i="9"/>
  <c r="C42" i="9"/>
  <c r="C41" i="9"/>
  <c r="I38" i="9"/>
  <c r="C38" i="9"/>
  <c r="I37" i="9"/>
  <c r="C37" i="9"/>
  <c r="C36" i="9"/>
  <c r="I36" i="9"/>
  <c r="C32" i="9"/>
  <c r="I32" i="9"/>
  <c r="I31" i="9"/>
  <c r="C31"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I28" i="8"/>
  <c r="C28" i="8"/>
  <c r="F28" i="8" s="1"/>
  <c r="A43" i="12"/>
  <c r="B39" i="12"/>
  <c r="I26" i="8"/>
  <c r="C26" i="8"/>
  <c r="F26" i="8" s="1"/>
  <c r="J27" i="8"/>
  <c r="K27" i="8" s="1"/>
  <c r="H27" i="8"/>
  <c r="A41" i="12"/>
  <c r="C42" i="12"/>
  <c r="B42" i="12"/>
  <c r="F20" i="8"/>
  <c r="B4" i="12"/>
  <c r="F11" i="10"/>
  <c r="H11" i="10" s="1"/>
  <c r="F31" i="10"/>
  <c r="H31" i="10" s="1"/>
  <c r="F26" i="10"/>
  <c r="F21" i="10"/>
  <c r="F16" i="10"/>
  <c r="H16" i="10" s="1"/>
  <c r="A25" i="12"/>
  <c r="A33" i="12"/>
  <c r="A21" i="12"/>
  <c r="B17" i="12"/>
  <c r="A29" i="12"/>
  <c r="I24" i="10"/>
  <c r="C24" i="10"/>
  <c r="F24" i="10" s="1"/>
  <c r="C27" i="10"/>
  <c r="F27" i="10" s="1"/>
  <c r="I27" i="10"/>
  <c r="I29" i="10"/>
  <c r="C29" i="10"/>
  <c r="F29" i="10" s="1"/>
  <c r="I17" i="10"/>
  <c r="C17" i="10"/>
  <c r="C14" i="10"/>
  <c r="F14" i="10" s="1"/>
  <c r="H14" i="10" s="1"/>
  <c r="I14" i="10"/>
  <c r="I32" i="10"/>
  <c r="C32" i="10"/>
  <c r="I19" i="10"/>
  <c r="C19" i="10"/>
  <c r="C12" i="10"/>
  <c r="F12" i="10" s="1"/>
  <c r="H12" i="10" s="1"/>
  <c r="I12" i="10"/>
  <c r="A31" i="12"/>
  <c r="A35" i="12"/>
  <c r="A27" i="12"/>
  <c r="B19" i="12"/>
  <c r="A23" i="12"/>
  <c r="C34" i="10"/>
  <c r="F34" i="10" s="1"/>
  <c r="H34" i="10" s="1"/>
  <c r="I34" i="10"/>
  <c r="I22" i="10"/>
  <c r="C22" i="10"/>
  <c r="C8" i="9"/>
  <c r="H3" i="12"/>
  <c r="C10" i="11"/>
  <c r="C8" i="8"/>
  <c r="J11" i="8" s="1"/>
  <c r="K11" i="8" s="1"/>
  <c r="F41" i="9"/>
  <c r="H41" i="9" s="1"/>
  <c r="F42" i="9"/>
  <c r="H42" i="9" s="1"/>
  <c r="F38" i="9"/>
  <c r="H38" i="9" s="1"/>
  <c r="F37" i="9"/>
  <c r="H37" i="9" s="1"/>
  <c r="F36" i="9"/>
  <c r="H36" i="9" s="1"/>
  <c r="F31" i="9"/>
  <c r="H31" i="9" s="1"/>
  <c r="F32" i="9"/>
  <c r="H32" i="9" s="1"/>
  <c r="H20" i="8"/>
  <c r="F21" i="8"/>
  <c r="F22" i="8"/>
  <c r="F11" i="9"/>
  <c r="F7" i="7"/>
  <c r="H17" i="9"/>
  <c r="F19" i="9"/>
  <c r="F20" i="9"/>
  <c r="F21" i="9"/>
  <c r="F18" i="9"/>
  <c r="H11" i="8"/>
  <c r="F13" i="8"/>
  <c r="F12" i="8"/>
  <c r="F14" i="8"/>
  <c r="F15" i="8"/>
  <c r="H17" i="8"/>
  <c r="F18" i="8"/>
  <c r="C23" i="8"/>
  <c r="F23" i="8" s="1"/>
  <c r="I33" i="9"/>
  <c r="C33" i="9"/>
  <c r="F33" i="9" s="1"/>
  <c r="E10" i="1"/>
  <c r="F32" i="10" l="1"/>
  <c r="H32" i="10" s="1"/>
  <c r="F33" i="10"/>
  <c r="H33" i="10" s="1"/>
  <c r="F13" i="10"/>
  <c r="H13" i="10" s="1"/>
  <c r="B47" i="12"/>
  <c r="F43" i="9"/>
  <c r="H43" i="9" s="1"/>
  <c r="B45" i="12"/>
  <c r="B37" i="12"/>
  <c r="B49" i="12"/>
  <c r="B51" i="12"/>
  <c r="J26" i="8"/>
  <c r="K26" i="8" s="1"/>
  <c r="H26" i="8"/>
  <c r="C43" i="12"/>
  <c r="B43" i="12"/>
  <c r="H28" i="8"/>
  <c r="J28" i="8"/>
  <c r="K28" i="8" s="1"/>
  <c r="B41" i="12"/>
  <c r="C41" i="12"/>
  <c r="J17" i="8"/>
  <c r="K17" i="8" s="1"/>
  <c r="J20" i="8"/>
  <c r="K20" i="8" s="1"/>
  <c r="J14" i="8"/>
  <c r="J13" i="8"/>
  <c r="J26" i="10"/>
  <c r="K26" i="10" s="1"/>
  <c r="H26" i="10"/>
  <c r="F19" i="10"/>
  <c r="H19" i="10" s="1"/>
  <c r="J21" i="10"/>
  <c r="K21" i="10" s="1"/>
  <c r="H21" i="10"/>
  <c r="F22" i="10"/>
  <c r="H22" i="10" s="1"/>
  <c r="F23" i="10"/>
  <c r="F28" i="10"/>
  <c r="B31" i="12"/>
  <c r="B5" i="12"/>
  <c r="B22" i="12" s="1"/>
  <c r="B34" i="12"/>
  <c r="B6" i="12"/>
  <c r="B27" i="12" s="1"/>
  <c r="B18" i="12"/>
  <c r="F17" i="10"/>
  <c r="H17" i="10" s="1"/>
  <c r="F18" i="10"/>
  <c r="H18" i="10" s="1"/>
  <c r="J15" i="8"/>
  <c r="K15" i="8" s="1"/>
  <c r="J12" i="8"/>
  <c r="K12" i="8" s="1"/>
  <c r="J22" i="10"/>
  <c r="K22" i="10" s="1"/>
  <c r="H27" i="10"/>
  <c r="H29" i="10"/>
  <c r="H24" i="10"/>
  <c r="J40" i="9"/>
  <c r="K40" i="9" s="1"/>
  <c r="C11" i="12"/>
  <c r="H8" i="12"/>
  <c r="C7" i="12" s="1"/>
  <c r="C12" i="12"/>
  <c r="C9" i="12"/>
  <c r="J35" i="9"/>
  <c r="K35" i="9" s="1"/>
  <c r="J30" i="9"/>
  <c r="J31" i="9" s="1"/>
  <c r="K31" i="9" s="1"/>
  <c r="I8" i="10"/>
  <c r="E2" i="11"/>
  <c r="J23" i="8"/>
  <c r="K23" i="8" s="1"/>
  <c r="H22" i="8"/>
  <c r="J22" i="8"/>
  <c r="K22" i="8" s="1"/>
  <c r="H21" i="8"/>
  <c r="J32" i="9"/>
  <c r="K32" i="9" s="1"/>
  <c r="J33" i="9"/>
  <c r="K33" i="9" s="1"/>
  <c r="F6" i="9"/>
  <c r="J17" i="9" s="1"/>
  <c r="J18" i="9" s="1"/>
  <c r="F8" i="7"/>
  <c r="F23" i="9" s="1"/>
  <c r="F9" i="7"/>
  <c r="F26" i="9" s="1"/>
  <c r="F10" i="7"/>
  <c r="F28" i="9" s="1"/>
  <c r="J11" i="9"/>
  <c r="H11" i="9"/>
  <c r="F12" i="9"/>
  <c r="F13" i="9"/>
  <c r="F14" i="9"/>
  <c r="F15" i="9"/>
  <c r="H20" i="9"/>
  <c r="H21" i="9"/>
  <c r="H19" i="9"/>
  <c r="H18" i="9"/>
  <c r="K13" i="8"/>
  <c r="H13" i="8"/>
  <c r="H15" i="8"/>
  <c r="H12" i="8"/>
  <c r="H14" i="8"/>
  <c r="K14" i="8"/>
  <c r="H18" i="8"/>
  <c r="H23" i="8"/>
  <c r="H33" i="9"/>
  <c r="E9" i="3"/>
  <c r="E5" i="3"/>
  <c r="E3" i="3"/>
  <c r="C3" i="3" s="1"/>
  <c r="J29" i="10" l="1"/>
  <c r="K29" i="10" s="1"/>
  <c r="B23" i="12"/>
  <c r="J27" i="10"/>
  <c r="K27" i="10" s="1"/>
  <c r="C5" i="12"/>
  <c r="C22" i="12" s="1"/>
  <c r="J42" i="9"/>
  <c r="K42" i="9" s="1"/>
  <c r="J41" i="9"/>
  <c r="K41" i="9" s="1"/>
  <c r="J37" i="9"/>
  <c r="K37" i="9" s="1"/>
  <c r="J38" i="9"/>
  <c r="K38" i="9" s="1"/>
  <c r="J36" i="9"/>
  <c r="K36" i="9" s="1"/>
  <c r="K30" i="9"/>
  <c r="J21" i="8"/>
  <c r="K21" i="8" s="1"/>
  <c r="J18" i="8"/>
  <c r="K18" i="8" s="1"/>
  <c r="B33" i="12"/>
  <c r="C6" i="12"/>
  <c r="B26" i="12"/>
  <c r="C8" i="12"/>
  <c r="B30" i="12"/>
  <c r="J24" i="10"/>
  <c r="K24" i="10" s="1"/>
  <c r="B29" i="12"/>
  <c r="B21" i="12"/>
  <c r="J28" i="10"/>
  <c r="K28" i="10" s="1"/>
  <c r="H28" i="10"/>
  <c r="B25" i="12"/>
  <c r="J23" i="10"/>
  <c r="K23" i="10" s="1"/>
  <c r="H23" i="10"/>
  <c r="B35" i="12"/>
  <c r="J16" i="10"/>
  <c r="J11" i="10"/>
  <c r="J43" i="9"/>
  <c r="K43" i="9" s="1"/>
  <c r="K8" i="10"/>
  <c r="J31" i="10" s="1"/>
  <c r="H7" i="12"/>
  <c r="C4" i="12" s="1"/>
  <c r="C23" i="12"/>
  <c r="C21" i="12"/>
  <c r="C38" i="12"/>
  <c r="C37" i="12"/>
  <c r="C39" i="12"/>
  <c r="C46" i="12"/>
  <c r="C47" i="12"/>
  <c r="C45" i="12"/>
  <c r="C50" i="12"/>
  <c r="C49" i="12"/>
  <c r="C51" i="12"/>
  <c r="C35" i="12"/>
  <c r="C33" i="12"/>
  <c r="C34"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0" i="12" l="1"/>
  <c r="C29" i="12"/>
  <c r="C31" i="12"/>
  <c r="C26" i="12"/>
  <c r="C27" i="12"/>
  <c r="C25" i="12"/>
  <c r="C18" i="12"/>
  <c r="C19" i="12"/>
  <c r="C17" i="12"/>
  <c r="K31" i="10"/>
  <c r="J32" i="10"/>
  <c r="K32" i="10" s="1"/>
  <c r="J33" i="10"/>
  <c r="K33" i="10" s="1"/>
  <c r="J34" i="10"/>
  <c r="K34" i="10" s="1"/>
  <c r="J17" i="10"/>
  <c r="K17" i="10" s="1"/>
  <c r="K16" i="10"/>
  <c r="J19" i="10"/>
  <c r="K19" i="10" s="1"/>
  <c r="J18" i="10"/>
  <c r="K18" i="10" s="1"/>
  <c r="K11" i="10"/>
  <c r="J14" i="10"/>
  <c r="K14" i="10" s="1"/>
  <c r="J13" i="10"/>
  <c r="K13" i="10" s="1"/>
  <c r="J12" i="10"/>
  <c r="K12"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<sst xmlns="http://schemas.openxmlformats.org/spreadsheetml/2006/main" count="307" uniqueCount="195">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</sst>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NL/JRC-IDEES-2015_Residential_N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NL/JRC-IDEES-2015_Transport_N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5663.0830289845808</v>
          </cell>
        </row>
        <row r="162">
          <cell r="Q162">
            <v>912.37313945210792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9452.6781067831071</v>
          </cell>
        </row>
        <row r="56">
          <cell r="Q56">
            <v>27090.305927755664</v>
          </cell>
        </row>
      </sheetData>
      <sheetData sheetId="3">
        <row r="150">
          <cell r="Q150">
            <v>8.0960781020197885</v>
          </cell>
        </row>
      </sheetData>
      <sheetData sheetId="4">
        <row r="62">
          <cell r="Q62">
            <v>3.5313122406994335</v>
          </cell>
        </row>
        <row r="64">
          <cell r="Q64">
            <v>5.8330880311321724</v>
          </cell>
        </row>
        <row r="65">
          <cell r="Q65">
            <v>4.7957218109294475</v>
          </cell>
        </row>
        <row r="68">
          <cell r="Q68">
            <v>3.5232323810381128</v>
          </cell>
        </row>
        <row r="69">
          <cell r="Q69">
            <v>2.8090996137401678</v>
          </cell>
        </row>
        <row r="70">
          <cell r="Q70">
            <v>53.092314986180945</v>
          </cell>
        </row>
      </sheetData>
      <sheetData sheetId="5">
        <row r="48">
          <cell r="Q48">
            <v>2.7986449721121818</v>
          </cell>
        </row>
        <row r="49">
          <cell r="Q49">
            <v>3.0172947697579793</v>
          </cell>
        </row>
      </sheetData>
      <sheetData sheetId="6" refreshError="1"/>
      <sheetData sheetId="7">
        <row r="62">
          <cell r="Q62">
            <v>80.688797738720169</v>
          </cell>
        </row>
        <row r="63">
          <cell r="Q63">
            <v>120.18588207369956</v>
          </cell>
        </row>
        <row r="66">
          <cell r="Q66">
            <v>273.10054619259137</v>
          </cell>
        </row>
      </sheetData>
      <sheetData sheetId="8">
        <row r="31">
          <cell r="Q31">
            <v>31.81328953850787</v>
          </cell>
        </row>
        <row r="33">
          <cell r="Q33">
            <v>159.81808960666183</v>
          </cell>
        </row>
        <row r="34">
          <cell r="Q34">
            <v>104.87523703476995</v>
          </cell>
        </row>
        <row r="35">
          <cell r="Q35">
            <v>158.28197201108352</v>
          </cell>
        </row>
      </sheetData>
      <sheetData sheetId="9" refreshError="1"/>
      <sheetData sheetId="10">
        <row r="69">
          <cell r="Q69">
            <v>133.7018942225902</v>
          </cell>
        </row>
      </sheetData>
      <sheetData sheetId="11">
        <row r="37">
          <cell r="Q37">
            <v>6814.1153741240551</v>
          </cell>
        </row>
      </sheetData>
      <sheetData sheetId="12">
        <row r="41">
          <cell r="Q41">
            <v>20512.445732944354</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912.37313945210792</v>
      </c>
      <c r="C3" s="6">
        <v>0.51400000000000001</v>
      </c>
      <c r="D3" s="2">
        <f>B3*$C3</f>
        <v>468.95979367838351</v>
      </c>
      <c r="E3" s="31">
        <v>1532.64</v>
      </c>
    </row>
    <row r="4" spans="1:5" x14ac:dyDescent="0.3">
      <c r="A4" s="1" t="s">
        <v>5</v>
      </c>
      <c r="B4" s="6">
        <f>[1]RES_summary!$Q$157</f>
        <v>5663.0830289845808</v>
      </c>
      <c r="C4" s="6">
        <v>0.20200000000000001</v>
      </c>
      <c r="D4" s="29">
        <f>B4*$C4</f>
        <v>1143.9427718548855</v>
      </c>
      <c r="E4" s="31">
        <v>2846.44</v>
      </c>
    </row>
    <row r="5" spans="1:5" x14ac:dyDescent="0.3">
      <c r="A5" s="1" t="s">
        <v>6</v>
      </c>
      <c r="B5" s="2">
        <f>B3+B4</f>
        <v>6575.456168436689</v>
      </c>
      <c r="C5" s="3" t="s">
        <v>7</v>
      </c>
      <c r="D5" s="29">
        <f>D3+D4</f>
        <v>1612.9025655332689</v>
      </c>
      <c r="E5" s="31">
        <f>E3+E4</f>
        <v>4379.08</v>
      </c>
    </row>
    <row r="7" spans="1:5" x14ac:dyDescent="0.3">
      <c r="A7" t="s">
        <v>20</v>
      </c>
      <c r="B7" s="5">
        <v>16900726</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9452.6781067831071</v>
      </c>
      <c r="C10" s="2">
        <f>B10*11630*1000/B7</f>
        <v>6504.7292277200131</v>
      </c>
      <c r="D10" s="6">
        <f>[2]Transport!$Q$56</f>
        <v>27090.305927755664</v>
      </c>
      <c r="E10" s="2">
        <f>D10*1000000/B7</f>
        <v>1602.9078234719423</v>
      </c>
    </row>
    <row r="11" spans="1:5" x14ac:dyDescent="0.3">
      <c r="A11" s="39" t="s">
        <v>142</v>
      </c>
      <c r="B11" s="40">
        <f>B10*11630</f>
        <v>109934646.38188754</v>
      </c>
      <c r="C11" s="40" t="s">
        <v>143</v>
      </c>
      <c r="D11" s="40">
        <f>D10*1000</f>
        <v>27090305.927755665</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684.27985458908097</v>
      </c>
      <c r="C2" s="35">
        <f>E2*0.9</f>
        <v>821.13582550689716</v>
      </c>
      <c r="D2" s="35">
        <f>0.95*E2</f>
        <v>866.75448247950249</v>
      </c>
      <c r="E2" s="35">
        <f>'Cons and emi per capita'!B3</f>
        <v>912.37313945210792</v>
      </c>
      <c r="F2" s="35">
        <f>1.05*E2</f>
        <v>957.99179642471336</v>
      </c>
      <c r="G2" s="35">
        <f>1.25*E2</f>
        <v>1140.4664243151349</v>
      </c>
      <c r="H2" s="12" t="s">
        <v>28</v>
      </c>
    </row>
    <row r="3" spans="1:8" x14ac:dyDescent="0.3">
      <c r="A3" s="1" t="s">
        <v>5</v>
      </c>
      <c r="B3" s="35">
        <f t="shared" ref="B3:B4" si="0">0.75*E3</f>
        <v>4247.3122717384358</v>
      </c>
      <c r="C3" s="35">
        <f t="shared" ref="C3:C4" si="1">E3*0.9</f>
        <v>5096.7747260861224</v>
      </c>
      <c r="D3" s="35">
        <f t="shared" ref="D3:D9" si="2">0.95*E3</f>
        <v>5379.9288775353516</v>
      </c>
      <c r="E3" s="17">
        <f>'Cons and emi per capita'!B4</f>
        <v>5663.0830289845808</v>
      </c>
      <c r="F3" s="35">
        <f t="shared" ref="F3:F9" si="3">1.05*E3</f>
        <v>5946.23718043381</v>
      </c>
      <c r="G3" s="35">
        <f t="shared" ref="G3:G4" si="4">1.25*E3</f>
        <v>7078.8537862307257</v>
      </c>
      <c r="H3" s="1" t="s">
        <v>28</v>
      </c>
    </row>
    <row r="4" spans="1:8" x14ac:dyDescent="0.3">
      <c r="A4" s="1" t="s">
        <v>18</v>
      </c>
      <c r="B4" s="35">
        <f t="shared" si="0"/>
        <v>4931.5921263275168</v>
      </c>
      <c r="C4" s="35">
        <f t="shared" si="1"/>
        <v>5917.9105515930205</v>
      </c>
      <c r="D4" s="35">
        <f t="shared" si="2"/>
        <v>6246.6833600148539</v>
      </c>
      <c r="E4" s="17">
        <f>E2+E3</f>
        <v>6575.456168436689</v>
      </c>
      <c r="F4" s="35">
        <f t="shared" si="3"/>
        <v>6904.2289768585242</v>
      </c>
      <c r="G4" s="35">
        <f t="shared" si="4"/>
        <v>8219.3202105458622</v>
      </c>
      <c r="H4" s="1" t="s">
        <v>28</v>
      </c>
    </row>
    <row r="5" spans="1:8" x14ac:dyDescent="0.3">
      <c r="A5" s="1" t="s">
        <v>33</v>
      </c>
      <c r="B5" s="17">
        <f>0.84*E5</f>
        <v>5463.9725512848108</v>
      </c>
      <c r="C5" s="35">
        <f>E5*0.91</f>
        <v>5919.3035972252119</v>
      </c>
      <c r="D5" s="35">
        <f t="shared" si="2"/>
        <v>6179.4927663340122</v>
      </c>
      <c r="E5" s="17">
        <f>'Cons and emi per capita'!C10</f>
        <v>6504.7292277200131</v>
      </c>
      <c r="F5" s="35">
        <f t="shared" si="3"/>
        <v>6829.965689106014</v>
      </c>
      <c r="G5" s="17">
        <f>1.16*E5</f>
        <v>7545.4859041552145</v>
      </c>
      <c r="H5" s="1" t="s">
        <v>28</v>
      </c>
    </row>
    <row r="6" spans="1:8" x14ac:dyDescent="0.3">
      <c r="A6" s="1" t="s">
        <v>29</v>
      </c>
      <c r="B6" s="17">
        <f>0.75*E6</f>
        <v>351.71984525878764</v>
      </c>
      <c r="C6" s="35">
        <f>E6*0.9</f>
        <v>422.06381431054518</v>
      </c>
      <c r="D6" s="35">
        <f t="shared" si="2"/>
        <v>445.51180399446429</v>
      </c>
      <c r="E6" s="17">
        <f>'Cons and emi per capita'!D3</f>
        <v>468.95979367838351</v>
      </c>
      <c r="F6" s="35">
        <f t="shared" si="3"/>
        <v>492.40778336230272</v>
      </c>
      <c r="G6" s="17">
        <f>1.25*E6</f>
        <v>586.19974209797942</v>
      </c>
      <c r="H6" s="1" t="s">
        <v>30</v>
      </c>
    </row>
    <row r="7" spans="1:8" x14ac:dyDescent="0.3">
      <c r="A7" s="1" t="s">
        <v>31</v>
      </c>
      <c r="B7" s="17">
        <f>0.75*E7</f>
        <v>857.95707889116409</v>
      </c>
      <c r="C7" s="35">
        <f t="shared" ref="C7:C8" si="5">E7*0.9</f>
        <v>1029.5484946693969</v>
      </c>
      <c r="D7" s="35">
        <f t="shared" si="2"/>
        <v>1086.7456332621412</v>
      </c>
      <c r="E7" s="17">
        <f>'Cons and emi per capita'!D4</f>
        <v>1143.9427718548855</v>
      </c>
      <c r="F7" s="35">
        <f t="shared" si="3"/>
        <v>1201.1399104476297</v>
      </c>
      <c r="G7" s="17">
        <f t="shared" ref="G7:G8" si="6">1.25*E7</f>
        <v>1429.9284648186067</v>
      </c>
      <c r="H7" s="1" t="s">
        <v>30</v>
      </c>
    </row>
    <row r="8" spans="1:8" x14ac:dyDescent="0.3">
      <c r="A8" s="1" t="s">
        <v>32</v>
      </c>
      <c r="B8" s="17">
        <f t="shared" ref="B8" si="7">0.75*E8</f>
        <v>1209.6769241499517</v>
      </c>
      <c r="C8" s="35">
        <f t="shared" si="5"/>
        <v>1451.6123089799421</v>
      </c>
      <c r="D8" s="35">
        <f t="shared" si="2"/>
        <v>1532.2574372566053</v>
      </c>
      <c r="E8" s="17">
        <f>E6+E7</f>
        <v>1612.9025655332689</v>
      </c>
      <c r="F8" s="35">
        <f t="shared" si="3"/>
        <v>1693.5476938099325</v>
      </c>
      <c r="G8" s="17">
        <f t="shared" si="6"/>
        <v>2016.1282069165861</v>
      </c>
      <c r="H8" s="1" t="s">
        <v>30</v>
      </c>
    </row>
    <row r="9" spans="1:8" x14ac:dyDescent="0.3">
      <c r="A9" s="1" t="s">
        <v>34</v>
      </c>
      <c r="B9" s="17">
        <f>0.84*E9</f>
        <v>1346.4425717164315</v>
      </c>
      <c r="C9" s="35">
        <f>E9*0.91</f>
        <v>1458.6461193594675</v>
      </c>
      <c r="D9" s="35">
        <f t="shared" si="2"/>
        <v>1522.7624322983452</v>
      </c>
      <c r="E9" s="17">
        <f>'Cons and emi per capita'!E10</f>
        <v>1602.9078234719423</v>
      </c>
      <c r="F9" s="35">
        <f t="shared" si="3"/>
        <v>1683.0532146455394</v>
      </c>
      <c r="G9" s="17">
        <f>1.16*E9</f>
        <v>1859.373075227453</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10395.564677612329</v>
      </c>
      <c r="C13" s="37">
        <f t="shared" ref="C13:G13" si="8">SUM(C4:C5)</f>
        <v>11837.214148818231</v>
      </c>
      <c r="D13" s="37">
        <f t="shared" si="8"/>
        <v>12426.176126348866</v>
      </c>
      <c r="E13" s="37">
        <f t="shared" si="8"/>
        <v>13080.185396156703</v>
      </c>
      <c r="F13" s="37">
        <f t="shared" si="8"/>
        <v>13734.194665964538</v>
      </c>
      <c r="G13" s="37">
        <f t="shared" si="8"/>
        <v>15764.806114701078</v>
      </c>
    </row>
    <row r="14" spans="1:8" x14ac:dyDescent="0.3">
      <c r="B14" s="37">
        <f>SUM(B8:B9)</f>
        <v>2556.1194958663832</v>
      </c>
      <c r="C14" s="37">
        <f t="shared" ref="C14:G14" si="9">SUM(C8:C9)</f>
        <v>2910.2584283394099</v>
      </c>
      <c r="D14" s="37">
        <f t="shared" si="9"/>
        <v>3055.0198695549507</v>
      </c>
      <c r="E14" s="37">
        <f t="shared" si="9"/>
        <v>3215.8103890052112</v>
      </c>
      <c r="F14" s="37">
        <f t="shared" si="9"/>
        <v>3376.6009084554717</v>
      </c>
      <c r="G14" s="37">
        <f t="shared" si="9"/>
        <v>3875.5012821440391</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1"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2.5745528364422925</v>
      </c>
      <c r="I5" s="17">
        <f>B6</f>
        <v>8.0960781020197885</v>
      </c>
      <c r="J5" s="17">
        <f>J$4*I5/I$4</f>
        <v>13.617603367597283</v>
      </c>
    </row>
    <row r="6" spans="1:11" x14ac:dyDescent="0.3">
      <c r="A6" s="1" t="s">
        <v>40</v>
      </c>
      <c r="B6" s="6">
        <f>[2]TrRoad_act!$Q$150</f>
        <v>8.0960781020197885</v>
      </c>
      <c r="C6" s="1" t="s">
        <v>59</v>
      </c>
      <c r="D6" s="3" t="s">
        <v>7</v>
      </c>
      <c r="E6" s="1"/>
      <c r="G6" s="1" t="s">
        <v>83</v>
      </c>
      <c r="H6" s="17">
        <f t="shared" ref="H6:H8" si="0">H$4*I6/I$4</f>
        <v>25.659037680913016</v>
      </c>
      <c r="I6" s="17">
        <f>B20</f>
        <v>80.688797738720169</v>
      </c>
      <c r="J6" s="17">
        <f t="shared" ref="J6:J8" si="1">J$4*I6/I$4</f>
        <v>135.71855779652731</v>
      </c>
    </row>
    <row r="7" spans="1:11" x14ac:dyDescent="0.3">
      <c r="A7" s="57" t="s">
        <v>61</v>
      </c>
      <c r="B7" s="57"/>
      <c r="C7" s="57"/>
      <c r="D7" s="57"/>
      <c r="E7" s="57"/>
      <c r="G7" s="1" t="s">
        <v>84</v>
      </c>
      <c r="H7" s="17">
        <f t="shared" si="0"/>
        <v>38.219110499436461</v>
      </c>
      <c r="I7" s="17">
        <f>B21</f>
        <v>120.18588207369956</v>
      </c>
      <c r="J7" s="17">
        <f t="shared" si="1"/>
        <v>202.15265364796267</v>
      </c>
    </row>
    <row r="8" spans="1:11" x14ac:dyDescent="0.3">
      <c r="A8" s="1" t="s">
        <v>42</v>
      </c>
      <c r="B8" s="6">
        <f>[2]TrRoad_ene!$Q$62</f>
        <v>3.5313122406994335</v>
      </c>
      <c r="C8" s="74" t="s">
        <v>60</v>
      </c>
      <c r="D8" s="27">
        <f>B8*11.63/100</f>
        <v>0.41069161359334416</v>
      </c>
      <c r="E8" s="74" t="s">
        <v>41</v>
      </c>
      <c r="G8" s="1" t="s">
        <v>85</v>
      </c>
      <c r="H8" s="17">
        <f t="shared" si="0"/>
        <v>86.845973689244062</v>
      </c>
      <c r="I8" s="17">
        <f>B22</f>
        <v>273.10054619259137</v>
      </c>
      <c r="J8" s="17">
        <f t="shared" si="1"/>
        <v>459.35511869593864</v>
      </c>
    </row>
    <row r="9" spans="1:11" x14ac:dyDescent="0.3">
      <c r="A9" s="1" t="s">
        <v>43</v>
      </c>
      <c r="B9" s="3" t="s">
        <v>7</v>
      </c>
      <c r="C9" s="74"/>
      <c r="D9" s="3" t="s">
        <v>7</v>
      </c>
      <c r="E9" s="74"/>
    </row>
    <row r="10" spans="1:11" x14ac:dyDescent="0.3">
      <c r="A10" s="1" t="s">
        <v>44</v>
      </c>
      <c r="B10" s="6">
        <f>AVERAGE([2]TrRoad_ene!$Q$64:$Q$65)</f>
        <v>5.3144049210308104</v>
      </c>
      <c r="C10" s="74"/>
      <c r="D10" s="27">
        <f t="shared" ref="D10:D13" si="2">B10*11.63/100</f>
        <v>0.61806529231588325</v>
      </c>
      <c r="E10" s="74"/>
    </row>
    <row r="11" spans="1:11" x14ac:dyDescent="0.3">
      <c r="A11" s="1" t="s">
        <v>45</v>
      </c>
      <c r="B11" s="6">
        <f>[2]TrRoad_ene!$Q$68</f>
        <v>3.5232323810381128</v>
      </c>
      <c r="C11" s="74"/>
      <c r="D11" s="27">
        <f t="shared" si="2"/>
        <v>0.40975192591473253</v>
      </c>
      <c r="E11" s="74"/>
    </row>
    <row r="12" spans="1:11" x14ac:dyDescent="0.3">
      <c r="A12" s="1" t="s">
        <v>46</v>
      </c>
      <c r="B12" s="6">
        <f>[2]TrRoad_ene!$Q$69</f>
        <v>2.8090996137401678</v>
      </c>
      <c r="C12" s="74"/>
      <c r="D12" s="27">
        <f t="shared" si="2"/>
        <v>0.32669828507798149</v>
      </c>
      <c r="E12" s="74"/>
    </row>
    <row r="13" spans="1:11" x14ac:dyDescent="0.3">
      <c r="A13" s="1" t="s">
        <v>40</v>
      </c>
      <c r="B13" s="6">
        <f>[2]TrRoad_ene!$Q$70</f>
        <v>53.092314986180945</v>
      </c>
      <c r="C13" s="74"/>
      <c r="D13" s="27">
        <f t="shared" si="2"/>
        <v>6.1746362328928441</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2.9079698709350805</v>
      </c>
      <c r="C16" s="1" t="s">
        <v>62</v>
      </c>
      <c r="D16" s="28">
        <f>B16*1000/11630</f>
        <v>0.25004040162812385</v>
      </c>
      <c r="E16" s="1" t="s">
        <v>47</v>
      </c>
    </row>
    <row r="17" spans="1:5" x14ac:dyDescent="0.3">
      <c r="A17" s="1" t="s">
        <v>65</v>
      </c>
      <c r="B17" s="6">
        <v>0.318</v>
      </c>
      <c r="C17" s="1" t="s">
        <v>47</v>
      </c>
      <c r="D17" s="2">
        <f>B17</f>
        <v>0.318</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80.688797738720169</v>
      </c>
      <c r="C20" s="68" t="s">
        <v>59</v>
      </c>
      <c r="D20" s="3" t="s">
        <v>7</v>
      </c>
      <c r="E20" s="1"/>
    </row>
    <row r="21" spans="1:5" x14ac:dyDescent="0.3">
      <c r="A21" s="1" t="s">
        <v>51</v>
      </c>
      <c r="B21" s="6">
        <f>[2]TrRail_act!$Q$63</f>
        <v>120.18588207369956</v>
      </c>
      <c r="C21" s="69"/>
      <c r="D21" s="3" t="s">
        <v>7</v>
      </c>
      <c r="E21" s="1"/>
    </row>
    <row r="22" spans="1:5" x14ac:dyDescent="0.3">
      <c r="A22" s="1" t="s">
        <v>52</v>
      </c>
      <c r="B22" s="6">
        <f>[2]TrRail_act!$Q$66</f>
        <v>273.10054619259137</v>
      </c>
      <c r="C22" s="70"/>
      <c r="D22" s="3" t="s">
        <v>7</v>
      </c>
      <c r="E22" s="1"/>
    </row>
    <row r="23" spans="1:5" x14ac:dyDescent="0.3">
      <c r="A23" s="65" t="s">
        <v>53</v>
      </c>
      <c r="B23" s="66"/>
      <c r="C23" s="66"/>
      <c r="D23" s="66"/>
      <c r="E23" s="67"/>
    </row>
    <row r="24" spans="1:5" x14ac:dyDescent="0.3">
      <c r="A24" s="1" t="s">
        <v>50</v>
      </c>
      <c r="B24" s="6">
        <f>[2]TrRail_ene!$Q$31</f>
        <v>31.81328953850787</v>
      </c>
      <c r="C24" s="71" t="s">
        <v>60</v>
      </c>
      <c r="D24" s="2">
        <f>B24*11.63/100</f>
        <v>3.6998855733284652</v>
      </c>
      <c r="E24" s="71" t="s">
        <v>41</v>
      </c>
    </row>
    <row r="25" spans="1:5" x14ac:dyDescent="0.3">
      <c r="A25" s="1" t="s">
        <v>144</v>
      </c>
      <c r="B25" s="6">
        <f>[2]TrRail_ene!$Q$33</f>
        <v>159.81808960666183</v>
      </c>
      <c r="C25" s="72"/>
      <c r="D25" s="27">
        <f t="shared" ref="D25:D27" si="3">B25*11.63/100</f>
        <v>18.586843821254771</v>
      </c>
      <c r="E25" s="72"/>
    </row>
    <row r="26" spans="1:5" x14ac:dyDescent="0.3">
      <c r="A26" s="1" t="s">
        <v>51</v>
      </c>
      <c r="B26" s="6">
        <f>[2]TrRail_ene!$Q$34</f>
        <v>104.87523703476995</v>
      </c>
      <c r="C26" s="72"/>
      <c r="D26" s="27">
        <f t="shared" si="3"/>
        <v>12.196990067143748</v>
      </c>
      <c r="E26" s="72"/>
    </row>
    <row r="27" spans="1:5" x14ac:dyDescent="0.3">
      <c r="A27" s="1" t="s">
        <v>52</v>
      </c>
      <c r="B27" s="6">
        <f>[2]TrRail_ene!$Q$35</f>
        <v>158.28197201108352</v>
      </c>
      <c r="C27" s="73"/>
      <c r="D27" s="2">
        <f t="shared" si="3"/>
        <v>18.408193344889018</v>
      </c>
      <c r="E27" s="73"/>
    </row>
    <row r="28" spans="1:5" x14ac:dyDescent="0.3">
      <c r="A28" s="65" t="s">
        <v>63</v>
      </c>
      <c r="B28" s="66"/>
      <c r="C28" s="66"/>
      <c r="D28" s="66"/>
      <c r="E28" s="67"/>
    </row>
    <row r="29" spans="1:5" x14ac:dyDescent="0.3">
      <c r="A29" s="1" t="s">
        <v>65</v>
      </c>
      <c r="B29" s="26">
        <f>B17</f>
        <v>0.318</v>
      </c>
      <c r="C29" s="1" t="s">
        <v>47</v>
      </c>
      <c r="D29" s="2">
        <f>B29</f>
        <v>0.318</v>
      </c>
      <c r="E29" s="1" t="s">
        <v>47</v>
      </c>
    </row>
    <row r="30" spans="1:5" x14ac:dyDescent="0.3">
      <c r="A30" s="62" t="s">
        <v>54</v>
      </c>
      <c r="B30" s="63"/>
      <c r="C30" s="63"/>
      <c r="D30" s="63"/>
      <c r="E30" s="64"/>
    </row>
    <row r="31" spans="1:5" x14ac:dyDescent="0.3">
      <c r="A31" s="1" t="s">
        <v>68</v>
      </c>
      <c r="B31" s="6">
        <f>[2]TrAvia_act!$Q$69</f>
        <v>133.7018942225902</v>
      </c>
      <c r="C31" s="1" t="s">
        <v>67</v>
      </c>
      <c r="D31" s="3" t="s">
        <v>7</v>
      </c>
      <c r="E31" s="1"/>
    </row>
    <row r="32" spans="1:5" x14ac:dyDescent="0.3">
      <c r="A32" s="1" t="s">
        <v>72</v>
      </c>
      <c r="B32" s="6">
        <f>[2]TrAvia_ene!$Q$37</f>
        <v>6814.1153741240551</v>
      </c>
      <c r="C32" s="1" t="s">
        <v>69</v>
      </c>
      <c r="D32" s="28">
        <f>B32*11.63*10^(-3)/B31</f>
        <v>0.59272280517678</v>
      </c>
      <c r="E32" s="1" t="s">
        <v>55</v>
      </c>
    </row>
    <row r="33" spans="1:5" x14ac:dyDescent="0.3">
      <c r="A33" s="1" t="s">
        <v>71</v>
      </c>
      <c r="B33" s="6">
        <f>[2]TrAvia_emi!$Q$41</f>
        <v>20512.445732944354</v>
      </c>
      <c r="C33" s="1" t="s">
        <v>70</v>
      </c>
      <c r="D33" s="28">
        <f>B33/B31</f>
        <v>153.41926045411691</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0" zoomScale="70" zoomScaleNormal="70" workbookViewId="0">
      <selection activeCell="C25" sqref="C25:C27"/>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0.318</v>
      </c>
    </row>
    <row r="4" spans="1:8" x14ac:dyDescent="0.3">
      <c r="A4" t="s">
        <v>87</v>
      </c>
      <c r="B4">
        <f>'Passenger transport data'!D13</f>
        <v>6.1746362328928441</v>
      </c>
      <c r="C4">
        <f>Tabla4[[#This Row],[ENERGY CONSUMPTION PER VEHICLE]]*H7</f>
        <v>2.4479598011630697</v>
      </c>
      <c r="G4" t="s">
        <v>165</v>
      </c>
      <c r="H4">
        <f>BUS!C16</f>
        <v>0.25967325881341358</v>
      </c>
    </row>
    <row r="5" spans="1:8" x14ac:dyDescent="0.3">
      <c r="A5" t="s">
        <v>179</v>
      </c>
      <c r="B5">
        <f>B4</f>
        <v>6.1746362328928441</v>
      </c>
      <c r="C5">
        <f>Tabla4[[#This Row],[ENERGY CONSUMPTION PER VEHICLE]]*H3</f>
        <v>1.9635343220599244</v>
      </c>
      <c r="G5" t="s">
        <v>180</v>
      </c>
      <c r="H5">
        <f>'Passenger transport data'!D15</f>
        <v>0.26655202063628547</v>
      </c>
    </row>
    <row r="6" spans="1:8" x14ac:dyDescent="0.3">
      <c r="A6" t="s">
        <v>181</v>
      </c>
      <c r="B6">
        <f>B4</f>
        <v>6.1746362328928441</v>
      </c>
      <c r="C6">
        <f>Tabla4[[#This Row],[ENERGY CONSUMPTION PER VEHICLE]]*H4</f>
        <v>1.6033879125826644</v>
      </c>
      <c r="G6" t="s">
        <v>182</v>
      </c>
      <c r="H6">
        <f>BUS!E5</f>
        <v>0.22800000000000001</v>
      </c>
    </row>
    <row r="7" spans="1:8" x14ac:dyDescent="0.3">
      <c r="A7" t="s">
        <v>191</v>
      </c>
      <c r="C7">
        <f>Tabla4[[#This Row],[ENERGY CONSUMPTION PER VEHICLE]]*H8</f>
        <v>0</v>
      </c>
      <c r="G7" t="s">
        <v>184</v>
      </c>
      <c r="H7">
        <f>BUS!E2</f>
        <v>0.39645409200343934</v>
      </c>
    </row>
    <row r="8" spans="1:8" x14ac:dyDescent="0.3">
      <c r="A8" t="s">
        <v>183</v>
      </c>
      <c r="C8">
        <f>Tabla4[[#This Row],[ENERGY CONSUMPTION PER VEHICLE]]*H6</f>
        <v>0</v>
      </c>
      <c r="G8" t="s">
        <v>192</v>
      </c>
      <c r="H8">
        <f>0.5*H3+0.5*H4</f>
        <v>0.28883662940670679</v>
      </c>
    </row>
    <row r="9" spans="1:8" x14ac:dyDescent="0.3">
      <c r="A9" t="s">
        <v>185</v>
      </c>
      <c r="B9">
        <f>'Passenger transport data'!D26</f>
        <v>12.196990067143748</v>
      </c>
      <c r="C9">
        <f>Tabla4[[#This Row],[ENERGY CONSUMPTION PER VEHICLE]]*H3</f>
        <v>3.878642841351712</v>
      </c>
    </row>
    <row r="10" spans="1:8" x14ac:dyDescent="0.3">
      <c r="A10" t="s">
        <v>146</v>
      </c>
      <c r="B10">
        <f>'Passenger transport data'!D25</f>
        <v>18.586843821254771</v>
      </c>
      <c r="C10">
        <f>Tabla4[[#This Row],[ENERGY CONSUMPTION PER VEHICLE]]*H5</f>
        <v>4.9543607778065164</v>
      </c>
    </row>
    <row r="11" spans="1:8" x14ac:dyDescent="0.3">
      <c r="A11" t="s">
        <v>103</v>
      </c>
      <c r="B11">
        <f>'Passenger transport data'!D27</f>
        <v>18.408193344889018</v>
      </c>
      <c r="C11">
        <f>Tabla4[[#This Row],[ENERGY CONSUMPTION PER VEHICLE]]*H3</f>
        <v>5.8538054836747078</v>
      </c>
    </row>
    <row r="12" spans="1:8" x14ac:dyDescent="0.3">
      <c r="A12" t="s">
        <v>186</v>
      </c>
      <c r="B12">
        <f>'Passenger transport data'!D24</f>
        <v>3.6998855733284652</v>
      </c>
      <c r="C12">
        <f>Tabla4[[#This Row],[ENERGY CONSUMPTION PER VEHICLE]]*H3</f>
        <v>1.176563612318452</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2.5745528364422925</v>
      </c>
      <c r="B17">
        <f>B4/Tabla5[[#This Row],[LEVEL OF OCCUPANCY]]</f>
        <v>2.3983334680462076</v>
      </c>
      <c r="C17">
        <f>C4/Tabla5[[#This Row],[LEVEL OF OCCUPANCY]]</f>
        <v>0.95082911739571896</v>
      </c>
    </row>
    <row r="18" spans="1:3" x14ac:dyDescent="0.3">
      <c r="A18" s="37">
        <f>'Passenger transport data'!I5</f>
        <v>8.0960781020197885</v>
      </c>
      <c r="B18">
        <f>B4/Tabla5[[#This Row],[LEVEL OF OCCUPANCY]]</f>
        <v>0.762670042838694</v>
      </c>
      <c r="C18">
        <f>C4/Tabla5[[#This Row],[LEVEL OF OCCUPANCY]]</f>
        <v>0.30236365933183856</v>
      </c>
    </row>
    <row r="19" spans="1:3" x14ac:dyDescent="0.3">
      <c r="A19" s="37">
        <f>'Passenger transport data'!J5</f>
        <v>13.617603367597283</v>
      </c>
      <c r="B19">
        <f>B4/Tabla5[[#This Row],[LEVEL OF OCCUPANCY]]</f>
        <v>0.45343046542134008</v>
      </c>
      <c r="C19">
        <f>C4/Tabla5[[#This Row],[LEVEL OF OCCUPANCY]]</f>
        <v>0.17976436345531427</v>
      </c>
    </row>
    <row r="20" spans="1:3" x14ac:dyDescent="0.3">
      <c r="A20" t="s">
        <v>179</v>
      </c>
    </row>
    <row r="21" spans="1:3" x14ac:dyDescent="0.3">
      <c r="A21" s="37">
        <f>A17</f>
        <v>2.5745528364422925</v>
      </c>
      <c r="B21">
        <f>B5/Tabla5[[#This Row],[LEVEL OF OCCUPANCY]]</f>
        <v>2.3983334680462076</v>
      </c>
      <c r="C21">
        <f>C5/Tabla5[[#This Row],[LEVEL OF OCCUPANCY]]</f>
        <v>0.762670042838694</v>
      </c>
    </row>
    <row r="22" spans="1:3" x14ac:dyDescent="0.3">
      <c r="A22" s="37">
        <f>A18</f>
        <v>8.0960781020197885</v>
      </c>
      <c r="B22">
        <f>B5/Tabla5[[#This Row],[LEVEL OF OCCUPANCY]]</f>
        <v>0.762670042838694</v>
      </c>
      <c r="C22">
        <f>C5/Tabla5[[#This Row],[LEVEL OF OCCUPANCY]]</f>
        <v>0.24252907362270468</v>
      </c>
    </row>
    <row r="23" spans="1:3" x14ac:dyDescent="0.3">
      <c r="A23" s="37">
        <f>A19</f>
        <v>13.617603367597283</v>
      </c>
      <c r="B23">
        <f>B5/Tabla5[[#This Row],[LEVEL OF OCCUPANCY]]</f>
        <v>0.45343046542134008</v>
      </c>
      <c r="C23">
        <f>C5/Tabla5[[#This Row],[LEVEL OF OCCUPANCY]]</f>
        <v>0.14419088800398613</v>
      </c>
    </row>
    <row r="24" spans="1:3" x14ac:dyDescent="0.3">
      <c r="A24" t="s">
        <v>181</v>
      </c>
    </row>
    <row r="25" spans="1:3" x14ac:dyDescent="0.3">
      <c r="A25" s="37">
        <f>A17</f>
        <v>2.5745528364422925</v>
      </c>
      <c r="B25">
        <f>B6/Tabla5[[#This Row],[LEVEL OF OCCUPANCY]]</f>
        <v>2.3983334680462076</v>
      </c>
      <c r="C25">
        <f>C6/Tabla5[[#This Row],[LEVEL OF OCCUPANCY]]</f>
        <v>0.6227830673688346</v>
      </c>
    </row>
    <row r="26" spans="1:3" x14ac:dyDescent="0.3">
      <c r="A26" s="37">
        <f>A18</f>
        <v>8.0960781020197885</v>
      </c>
      <c r="B26">
        <f>B6/Tabla5[[#This Row],[LEVEL OF OCCUPANCY]]</f>
        <v>0.762670042838694</v>
      </c>
      <c r="C26">
        <f>C6/Tabla5[[#This Row],[LEVEL OF OCCUPANCY]]</f>
        <v>0.19804501542328939</v>
      </c>
    </row>
    <row r="27" spans="1:3" x14ac:dyDescent="0.3">
      <c r="A27" s="37">
        <f>A19</f>
        <v>13.617603367597283</v>
      </c>
      <c r="B27">
        <f>B6/Tabla5[[#This Row],[LEVEL OF OCCUPANCY]]</f>
        <v>0.45343046542134008</v>
      </c>
      <c r="C27">
        <f>C6/Tabla5[[#This Row],[LEVEL OF OCCUPANCY]]</f>
        <v>0.11774376660124221</v>
      </c>
    </row>
    <row r="28" spans="1:3" x14ac:dyDescent="0.3">
      <c r="A28" s="37" t="s">
        <v>183</v>
      </c>
    </row>
    <row r="29" spans="1:3" x14ac:dyDescent="0.3">
      <c r="A29" s="37">
        <f>A17</f>
        <v>2.5745528364422925</v>
      </c>
      <c r="B29">
        <f>B8/Tabla5[[#This Row],[LEVEL OF OCCUPANCY]]</f>
        <v>0</v>
      </c>
      <c r="C29">
        <f>C8/Tabla5[[#This Row],[LEVEL OF OCCUPANCY]]</f>
        <v>0</v>
      </c>
    </row>
    <row r="30" spans="1:3" x14ac:dyDescent="0.3">
      <c r="A30" s="37">
        <f>A18</f>
        <v>8.0960781020197885</v>
      </c>
      <c r="B30">
        <f>B8/Tabla5[[#This Row],[LEVEL OF OCCUPANCY]]</f>
        <v>0</v>
      </c>
      <c r="C30">
        <f>C8/Tabla5[[#This Row],[LEVEL OF OCCUPANCY]]</f>
        <v>0</v>
      </c>
    </row>
    <row r="31" spans="1:3" x14ac:dyDescent="0.3">
      <c r="A31" s="37">
        <f>A19</f>
        <v>13.617603367597283</v>
      </c>
      <c r="B31">
        <f>B8/Tabla5[[#This Row],[LEVEL OF OCCUPANCY]]</f>
        <v>0</v>
      </c>
      <c r="C31">
        <f>C8/Tabla5[[#This Row],[LEVEL OF OCCUPANCY]]</f>
        <v>0</v>
      </c>
    </row>
    <row r="32" spans="1:3" x14ac:dyDescent="0.3">
      <c r="A32" s="37" t="s">
        <v>191</v>
      </c>
    </row>
    <row r="33" spans="1:3" x14ac:dyDescent="0.3">
      <c r="A33" s="37">
        <f>A17</f>
        <v>2.5745528364422925</v>
      </c>
      <c r="B33">
        <f>B7/Tabla5[[#This Row],[LEVEL OF OCCUPANCY]]</f>
        <v>0</v>
      </c>
      <c r="C33">
        <f>C7/Tabla5[[#This Row],[LEVEL OF OCCUPANCY]]</f>
        <v>0</v>
      </c>
    </row>
    <row r="34" spans="1:3" x14ac:dyDescent="0.3">
      <c r="A34" s="37">
        <f>A18</f>
        <v>8.0960781020197885</v>
      </c>
      <c r="B34">
        <f>B7/Tabla5[[#This Row],[LEVEL OF OCCUPANCY]]</f>
        <v>0</v>
      </c>
      <c r="C34">
        <f>C7/Tabla5[[#This Row],[LEVEL OF OCCUPANCY]]</f>
        <v>0</v>
      </c>
    </row>
    <row r="35" spans="1:3" x14ac:dyDescent="0.3">
      <c r="A35" s="37">
        <f>A19</f>
        <v>13.617603367597283</v>
      </c>
      <c r="B35">
        <f>B7/Tabla5[[#This Row],[LEVEL OF OCCUPANCY]]</f>
        <v>0</v>
      </c>
      <c r="C35">
        <f>C7/Tabla5[[#This Row],[LEVEL OF OCCUPANCY]]</f>
        <v>0</v>
      </c>
    </row>
    <row r="36" spans="1:3" x14ac:dyDescent="0.3">
      <c r="A36" t="s">
        <v>185</v>
      </c>
    </row>
    <row r="37" spans="1:3" x14ac:dyDescent="0.3">
      <c r="A37" s="37">
        <f>'Passenger transport data'!H7</f>
        <v>38.219110499436461</v>
      </c>
      <c r="B37">
        <f>B9/Tabla5[[#This Row],[LEVEL OF OCCUPANCY]]</f>
        <v>0.31913327934002</v>
      </c>
      <c r="C37">
        <f>C9/Tabla5[[#This Row],[LEVEL OF OCCUPANCY]]</f>
        <v>0.10148438283012637</v>
      </c>
    </row>
    <row r="38" spans="1:3" x14ac:dyDescent="0.3">
      <c r="A38" s="37">
        <f>'Passenger transport data'!I7</f>
        <v>120.18588207369956</v>
      </c>
      <c r="B38">
        <f>B9/Tabla5[[#This Row],[LEVEL OF OCCUPANCY]]</f>
        <v>0.10148438283012637</v>
      </c>
      <c r="C38">
        <f>C9/Tabla5[[#This Row],[LEVEL OF OCCUPANCY]]</f>
        <v>3.2272033739980187E-2</v>
      </c>
    </row>
    <row r="39" spans="1:3" x14ac:dyDescent="0.3">
      <c r="A39" s="37">
        <f>'Passenger transport data'!J7</f>
        <v>202.15265364796267</v>
      </c>
      <c r="B39">
        <f>B9/Tabla5[[#This Row],[LEVEL OF OCCUPANCY]]</f>
        <v>6.0335542705188087E-2</v>
      </c>
      <c r="C39">
        <f>C9/Tabla5[[#This Row],[LEVEL OF OCCUPANCY]]</f>
        <v>1.9186702580249813E-2</v>
      </c>
    </row>
    <row r="40" spans="1:3" x14ac:dyDescent="0.3">
      <c r="A40" t="s">
        <v>146</v>
      </c>
    </row>
    <row r="41" spans="1:3" x14ac:dyDescent="0.3">
      <c r="A41" s="37">
        <f>A37</f>
        <v>38.219110499436461</v>
      </c>
      <c r="B41">
        <f>B10/Tabla5[[#This Row],[LEVEL OF OCCUPANCY]]</f>
        <v>0.48632329686293546</v>
      </c>
      <c r="C41">
        <f>C10/Tabla5[[#This Row],[LEVEL OF OCCUPANCY]]</f>
        <v>0.12963045746131555</v>
      </c>
    </row>
    <row r="42" spans="1:3" x14ac:dyDescent="0.3">
      <c r="A42" s="37">
        <f>A38</f>
        <v>120.18588207369956</v>
      </c>
      <c r="B42">
        <f>B10/Tabla5[[#This Row],[LEVEL OF OCCUPANCY]]</f>
        <v>0.15465080840241346</v>
      </c>
      <c r="C42">
        <f>C10/Tabla5[[#This Row],[LEVEL OF OCCUPANCY]]</f>
        <v>4.1222485472698342E-2</v>
      </c>
    </row>
    <row r="43" spans="1:3" x14ac:dyDescent="0.3">
      <c r="A43" s="37">
        <f>A39</f>
        <v>202.15265364796267</v>
      </c>
      <c r="B43">
        <f>B10/Tabla5[[#This Row],[LEVEL OF OCCUPANCY]]</f>
        <v>9.1944594769568053E-2</v>
      </c>
      <c r="C43">
        <f>C10/Tabla5[[#This Row],[LEVEL OF OCCUPANCY]]</f>
        <v>2.4508017522412807E-2</v>
      </c>
    </row>
    <row r="44" spans="1:3" x14ac:dyDescent="0.3">
      <c r="A44" s="37" t="s">
        <v>103</v>
      </c>
    </row>
    <row r="45" spans="1:3" x14ac:dyDescent="0.3">
      <c r="A45" s="37">
        <f>'Passenger transport data'!H8</f>
        <v>86.845973689244062</v>
      </c>
      <c r="B45">
        <f>B11/Tabla5[[#This Row],[LEVEL OF OCCUPANCY]]</f>
        <v>0.21196369345524288</v>
      </c>
      <c r="C45">
        <f>C11/Tabla5[[#This Row],[LEVEL OF OCCUPANCY]]</f>
        <v>6.740445451876724E-2</v>
      </c>
    </row>
    <row r="46" spans="1:3" x14ac:dyDescent="0.3">
      <c r="A46" s="37">
        <f>'Passenger transport data'!I8</f>
        <v>273.10054619259137</v>
      </c>
      <c r="B46">
        <f>B11/Tabla5[[#This Row],[LEVEL OF OCCUPANCY]]</f>
        <v>6.740445451876724E-2</v>
      </c>
      <c r="C46">
        <f>C11/Tabla5[[#This Row],[LEVEL OF OCCUPANCY]]</f>
        <v>2.1434616536967984E-2</v>
      </c>
    </row>
    <row r="47" spans="1:3" x14ac:dyDescent="0.3">
      <c r="A47" s="37">
        <f>'Passenger transport data'!J8</f>
        <v>459.35511869593864</v>
      </c>
      <c r="B47">
        <f>B11/Tabla5[[#This Row],[LEVEL OF OCCUPANCY]]</f>
        <v>4.0073991984998364E-2</v>
      </c>
      <c r="C47">
        <f>C11/Tabla5[[#This Row],[LEVEL OF OCCUPANCY]]</f>
        <v>1.2743529451229481E-2</v>
      </c>
    </row>
    <row r="48" spans="1:3" x14ac:dyDescent="0.3">
      <c r="A48" t="s">
        <v>186</v>
      </c>
    </row>
    <row r="49" spans="1:3" x14ac:dyDescent="0.3">
      <c r="A49" s="37">
        <f>'Passenger transport data'!H6</f>
        <v>25.659037680913016</v>
      </c>
      <c r="B49">
        <f>B12/Tabla5[[#This Row],[LEVEL OF OCCUPANCY]]</f>
        <v>0.14419424529239841</v>
      </c>
      <c r="C49">
        <f>C12/Tabla5[[#This Row],[LEVEL OF OCCUPANCY]]</f>
        <v>4.5853770002982699E-2</v>
      </c>
    </row>
    <row r="50" spans="1:3" x14ac:dyDescent="0.3">
      <c r="A50" s="37">
        <f>'Passenger transport data'!I6</f>
        <v>80.688797738720169</v>
      </c>
      <c r="B50">
        <f>B12/Tabla5[[#This Row],[LEVEL OF OCCUPANCY]]</f>
        <v>4.5853770002982699E-2</v>
      </c>
      <c r="C50">
        <f>C12/Tabla5[[#This Row],[LEVEL OF OCCUPANCY]]</f>
        <v>1.4581498860948498E-2</v>
      </c>
    </row>
    <row r="51" spans="1:3" x14ac:dyDescent="0.3">
      <c r="A51" s="37">
        <f>'Passenger transport data'!J6</f>
        <v>135.71855779652731</v>
      </c>
      <c r="B51">
        <f>B12/Tabla5[[#This Row],[LEVEL OF OCCUPANCY]]</f>
        <v>2.7261456601059872E-2</v>
      </c>
      <c r="C51">
        <f>C12/Tabla5[[#This Row],[LEVEL OF OCCUPANCY]]</f>
        <v>8.6691431991370391E-3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55.9</v>
      </c>
      <c r="E2">
        <f>(Tabla1[[#This Row],[% fuel used for buses]]*C10+C3*((C11+C10)/2)+C4*((C12+C13+C14)/3)+C5*C15+C6*C16)/100</f>
        <v>0.39645409200343934</v>
      </c>
      <c r="F2" t="s">
        <v>47</v>
      </c>
    </row>
    <row r="3" spans="2:6" x14ac:dyDescent="0.3">
      <c r="B3" t="s">
        <v>161</v>
      </c>
      <c r="C3">
        <v>23.9</v>
      </c>
    </row>
    <row r="4" spans="2:6" x14ac:dyDescent="0.3">
      <c r="B4" t="s">
        <v>162</v>
      </c>
      <c r="C4">
        <v>16</v>
      </c>
      <c r="E4" t="s">
        <v>163</v>
      </c>
    </row>
    <row r="5" spans="2:6" x14ac:dyDescent="0.3">
      <c r="B5" t="s">
        <v>164</v>
      </c>
      <c r="C5">
        <v>0</v>
      </c>
      <c r="E5">
        <f>(C12+C13+C14)/3</f>
        <v>0.22800000000000001</v>
      </c>
      <c r="F5" t="s">
        <v>47</v>
      </c>
    </row>
    <row r="6" spans="2:6" x14ac:dyDescent="0.3">
      <c r="B6" t="s">
        <v>165</v>
      </c>
      <c r="C6">
        <v>44.1</v>
      </c>
    </row>
    <row r="9" spans="2:6" x14ac:dyDescent="0.3">
      <c r="B9" t="s">
        <v>166</v>
      </c>
      <c r="C9" t="s">
        <v>167</v>
      </c>
    </row>
    <row r="10" spans="2:6" x14ac:dyDescent="0.3">
      <c r="B10" t="s">
        <v>168</v>
      </c>
      <c r="C10">
        <f>'Passenger transport data'!D17</f>
        <v>0.318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2.8*1000/11630</f>
        <v>0.24075666380051591</v>
      </c>
    </row>
    <row r="16" spans="2:6" x14ac:dyDescent="0.3">
      <c r="B16" t="s">
        <v>165</v>
      </c>
      <c r="C16">
        <f>3.02*1000/11630</f>
        <v>0.25967325881341358</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240.75666380051592</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250.04040162812385</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259.67325881341355</v>
      </c>
      <c r="D8" s="22" t="s">
        <v>108</v>
      </c>
      <c r="E8" s="22" t="s">
        <v>147</v>
      </c>
      <c r="F8" s="22">
        <f>BUS!C16*1000</f>
        <v>259.67325881341355</v>
      </c>
      <c r="G8" s="22" t="s">
        <v>108</v>
      </c>
      <c r="H8" s="21" t="s">
        <v>131</v>
      </c>
      <c r="I8" s="22">
        <f>BUS!C10*1000</f>
        <v>318</v>
      </c>
      <c r="J8" s="22" t="s">
        <v>108</v>
      </c>
      <c r="K8" s="43">
        <f>BUS!E2*1000</f>
        <v>396.45409200343931</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6.1746362328928441</v>
      </c>
      <c r="G11" s="82"/>
      <c r="H11" s="30">
        <f>F11/A11</f>
        <v>6.1746362328928441</v>
      </c>
      <c r="I11" s="1">
        <v>0</v>
      </c>
      <c r="J11" s="1">
        <f>I$8*F11</f>
        <v>1963.5343220599245</v>
      </c>
      <c r="K11" s="30">
        <f>J11/A11</f>
        <v>1963.5343220599245</v>
      </c>
    </row>
    <row r="12" spans="1:13" x14ac:dyDescent="0.3">
      <c r="A12" s="18">
        <f>'Passenger transport data'!H5</f>
        <v>2.5745528364422925</v>
      </c>
      <c r="B12" s="1">
        <f>C$7*A12</f>
        <v>205.96422691538339</v>
      </c>
      <c r="C12" s="82">
        <f>I$4*B12/100</f>
        <v>1.7506959287807589E-2</v>
      </c>
      <c r="D12" s="82"/>
      <c r="E12" s="82"/>
      <c r="F12" s="82">
        <f>F$11+C12</f>
        <v>6.1921431921806516</v>
      </c>
      <c r="G12" s="82"/>
      <c r="H12" s="27">
        <f t="shared" ref="H12:H14" si="0">F12/A12</f>
        <v>2.4051334680462078</v>
      </c>
      <c r="I12" s="1">
        <f>I$6*B12</f>
        <v>5.7669983536307345</v>
      </c>
      <c r="J12" s="1">
        <f>F12*(I12+J$11)</f>
        <v>12194.195764551165</v>
      </c>
      <c r="K12" s="27">
        <f>J12/A12</f>
        <v>4736.4325143942306</v>
      </c>
    </row>
    <row r="13" spans="1:13" x14ac:dyDescent="0.3">
      <c r="A13" s="18">
        <f>'Passenger transport data'!I5</f>
        <v>8.0960781020197885</v>
      </c>
      <c r="B13" s="1">
        <f t="shared" ref="B13:B14" si="1">C$7*A13</f>
        <v>647.68624816158308</v>
      </c>
      <c r="C13" s="82">
        <f t="shared" ref="C13:C14" si="2">I$4*B13/100</f>
        <v>5.5053331093734566E-2</v>
      </c>
      <c r="D13" s="82"/>
      <c r="E13" s="82"/>
      <c r="F13" s="82">
        <f t="shared" ref="F13:F14" si="3">F$11+C13</f>
        <v>6.2296895639865788</v>
      </c>
      <c r="G13" s="82"/>
      <c r="H13" s="27">
        <f t="shared" si="0"/>
        <v>0.76947004283869391</v>
      </c>
      <c r="I13" s="1">
        <f t="shared" ref="I13:I14" si="4">I$6*B13</f>
        <v>18.135214948524325</v>
      </c>
      <c r="J13" s="1">
        <f>F13*(I13+J$11)</f>
        <v>12345.18603397165</v>
      </c>
      <c r="K13" s="27">
        <f>J13/A13</f>
        <v>1524.8353435340259</v>
      </c>
    </row>
    <row r="14" spans="1:13" x14ac:dyDescent="0.3">
      <c r="A14" s="18">
        <f>'Passenger transport data'!J5</f>
        <v>13.617603367597283</v>
      </c>
      <c r="B14" s="1">
        <f t="shared" si="1"/>
        <v>1089.4082694077827</v>
      </c>
      <c r="C14" s="82">
        <f t="shared" si="2"/>
        <v>9.2599702899661532E-2</v>
      </c>
      <c r="D14" s="82"/>
      <c r="E14" s="82"/>
      <c r="F14" s="82">
        <f t="shared" si="3"/>
        <v>6.267235935792506</v>
      </c>
      <c r="G14" s="82"/>
      <c r="H14" s="27">
        <f t="shared" si="0"/>
        <v>0.46023046542134011</v>
      </c>
      <c r="I14" s="1">
        <f t="shared" si="4"/>
        <v>30.503431543417911</v>
      </c>
      <c r="J14" s="1">
        <f>F14*(I14+J$11)</f>
        <v>12497.105066709832</v>
      </c>
      <c r="K14" s="27">
        <f>J14/A14</f>
        <v>917.71692340858988</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6.1746362328928441</v>
      </c>
      <c r="G16" s="82"/>
      <c r="H16" s="30">
        <f>F16/A16</f>
        <v>6.1746362328928441</v>
      </c>
      <c r="I16" s="1">
        <v>0</v>
      </c>
      <c r="J16" s="1">
        <f>F16*(0.5*C$8+0.5*I$8)</f>
        <v>1783.4611173212945</v>
      </c>
      <c r="K16" s="30">
        <f>J16/A16</f>
        <v>1783.4611173212945</v>
      </c>
    </row>
    <row r="17" spans="1:11" x14ac:dyDescent="0.3">
      <c r="A17" s="18">
        <f>'Passenger transport data'!H5</f>
        <v>2.5745528364422925</v>
      </c>
      <c r="B17" s="1">
        <f>C$7*A17</f>
        <v>205.96422691538339</v>
      </c>
      <c r="C17" s="76">
        <f>B17*(0.5*I$4+0.5*C$5)/100</f>
        <v>4.994632502698048E-2</v>
      </c>
      <c r="D17" s="77"/>
      <c r="E17" s="78"/>
      <c r="F17" s="76">
        <f>F$16+C17</f>
        <v>6.2245825579198248</v>
      </c>
      <c r="G17" s="78"/>
      <c r="H17" s="27">
        <f>F17/A17</f>
        <v>2.4177334680462077</v>
      </c>
      <c r="I17" s="1">
        <f>B17*(0.5*C$6+0.5*I$6)/100</f>
        <v>0.13181710522584539</v>
      </c>
      <c r="J17" s="1">
        <f>F17*(I17+J$16)</f>
        <v>11102.121470060356</v>
      </c>
      <c r="K17" s="27">
        <f>J17/A17</f>
        <v>4312.252330933743</v>
      </c>
    </row>
    <row r="18" spans="1:11" x14ac:dyDescent="0.3">
      <c r="A18" s="18">
        <f>'Passenger transport data'!I5</f>
        <v>8.0960781020197885</v>
      </c>
      <c r="B18" s="1">
        <f t="shared" ref="B18:B19" si="5">C$7*A18</f>
        <v>647.68624816158308</v>
      </c>
      <c r="C18" s="76">
        <f t="shared" ref="C18:C19" si="6">B18*(0.5*I$4+0.5*C$5)/100</f>
        <v>0.15706391517918392</v>
      </c>
      <c r="D18" s="77"/>
      <c r="E18" s="78"/>
      <c r="F18" s="76">
        <f t="shared" ref="F18:F19" si="7">F$16+C18</f>
        <v>6.3317001480720281</v>
      </c>
      <c r="G18" s="78"/>
      <c r="H18" s="27">
        <f t="shared" ref="H18:H19" si="8">F18/A18</f>
        <v>0.78207004283869397</v>
      </c>
      <c r="I18" s="1">
        <f t="shared" ref="I18:I19" si="9">B18*(0.5*C$6+0.5*I$6)/100</f>
        <v>0.41451919882341315</v>
      </c>
      <c r="J18" s="1">
        <f t="shared" ref="J18:J19" si="10">F18*(I18+J$16)</f>
        <v>11294.965631896514</v>
      </c>
      <c r="K18" s="27">
        <f t="shared" ref="K18:K19" si="11">J18/A18</f>
        <v>1395.115695472191</v>
      </c>
    </row>
    <row r="19" spans="1:11" x14ac:dyDescent="0.3">
      <c r="A19" s="18">
        <f>'Passenger transport data'!J5</f>
        <v>13.617603367597283</v>
      </c>
      <c r="B19" s="1">
        <f t="shared" si="5"/>
        <v>1089.4082694077827</v>
      </c>
      <c r="C19" s="76">
        <f t="shared" si="6"/>
        <v>0.26418150533138729</v>
      </c>
      <c r="D19" s="77"/>
      <c r="E19" s="78"/>
      <c r="F19" s="76">
        <f t="shared" si="7"/>
        <v>6.4388177382242313</v>
      </c>
      <c r="G19" s="78"/>
      <c r="H19" s="27">
        <f t="shared" si="8"/>
        <v>0.47283046542134005</v>
      </c>
      <c r="I19" s="1">
        <f t="shared" si="9"/>
        <v>0.69722129242098096</v>
      </c>
      <c r="J19" s="1">
        <f t="shared" si="10"/>
        <v>11487.870358466667</v>
      </c>
      <c r="K19" s="27">
        <f t="shared" si="11"/>
        <v>843.60441763208803</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6.1746362328928441</v>
      </c>
      <c r="G21" s="82"/>
      <c r="H21" s="30">
        <f>F21/A21</f>
        <v>6.1746362328928441</v>
      </c>
      <c r="I21" s="1">
        <v>0</v>
      </c>
      <c r="J21" s="1">
        <f>F21*K$6</f>
        <v>1407.8170610995685</v>
      </c>
      <c r="K21" s="30">
        <f>J21/A21</f>
        <v>1407.8170610995685</v>
      </c>
    </row>
    <row r="22" spans="1:11" x14ac:dyDescent="0.3">
      <c r="A22" s="18">
        <f>'Passenger transport data'!H5</f>
        <v>2.5745528364422925</v>
      </c>
      <c r="B22" s="1">
        <f>C$7*A22</f>
        <v>205.96422691538339</v>
      </c>
      <c r="C22" s="76">
        <f>B22*C$5/100</f>
        <v>8.2385690766153361E-2</v>
      </c>
      <c r="D22" s="77"/>
      <c r="E22" s="78"/>
      <c r="F22" s="79">
        <f>F$21+C22</f>
        <v>6.2570219236589972</v>
      </c>
      <c r="G22" s="80"/>
      <c r="H22" s="27">
        <f t="shared" ref="H22:H24" si="12">F22/A22</f>
        <v>2.4303334680462076</v>
      </c>
      <c r="I22" s="1">
        <f>C$6*B22</f>
        <v>20.59642269153834</v>
      </c>
      <c r="J22" s="1">
        <f>F22*(I22+J$21)</f>
        <v>8937.6144841310797</v>
      </c>
      <c r="K22" s="27">
        <f t="shared" ref="K22:K24" si="13">J22/A22</f>
        <v>3471.5210958660055</v>
      </c>
    </row>
    <row r="23" spans="1:11" x14ac:dyDescent="0.3">
      <c r="A23" s="18">
        <f>'Passenger transport data'!I5</f>
        <v>8.0960781020197885</v>
      </c>
      <c r="B23" s="1">
        <f t="shared" ref="B23:B24" si="14">C$7*A23</f>
        <v>647.68624816158308</v>
      </c>
      <c r="C23" s="76">
        <f t="shared" ref="C23:C24" si="15">B23*C$5/100</f>
        <v>0.25907449926463327</v>
      </c>
      <c r="D23" s="77"/>
      <c r="E23" s="78"/>
      <c r="F23" s="76">
        <f>F$21+C23</f>
        <v>6.4337107321574774</v>
      </c>
      <c r="G23" s="78"/>
      <c r="H23" s="27">
        <f t="shared" si="12"/>
        <v>0.79467004283869391</v>
      </c>
      <c r="I23" s="1">
        <f t="shared" ref="I23:I24" si="16">C$6*B23</f>
        <v>64.768624816158308</v>
      </c>
      <c r="J23" s="1">
        <f t="shared" ref="J23:J24" si="17">F23*(I23+J$21)</f>
        <v>9474.1903314974916</v>
      </c>
      <c r="K23" s="27">
        <f t="shared" si="13"/>
        <v>1170.2197301102981</v>
      </c>
    </row>
    <row r="24" spans="1:11" x14ac:dyDescent="0.3">
      <c r="A24" s="18">
        <f>'Passenger transport data'!J5</f>
        <v>13.617603367597283</v>
      </c>
      <c r="B24" s="1">
        <f t="shared" si="14"/>
        <v>1089.4082694077827</v>
      </c>
      <c r="C24" s="76">
        <f t="shared" si="15"/>
        <v>0.43576330776311312</v>
      </c>
      <c r="D24" s="77"/>
      <c r="E24" s="78"/>
      <c r="F24" s="76">
        <f t="shared" ref="F24" si="18">F$21+C24</f>
        <v>6.6103995406559575</v>
      </c>
      <c r="G24" s="78"/>
      <c r="H24" s="27">
        <f t="shared" si="12"/>
        <v>0.48543046542134011</v>
      </c>
      <c r="I24" s="1">
        <f t="shared" si="16"/>
        <v>108.94082694077827</v>
      </c>
      <c r="J24" s="1">
        <f t="shared" si="17"/>
        <v>10026.375646388207</v>
      </c>
      <c r="K24" s="27">
        <f t="shared" si="13"/>
        <v>736.28048752291431</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6.1746362328928441</v>
      </c>
      <c r="G26" s="82"/>
      <c r="H26" s="30">
        <f>F26/A26</f>
        <v>6.1746362328928441</v>
      </c>
      <c r="I26" s="1">
        <v>0</v>
      </c>
      <c r="J26" s="1">
        <f>C$8*F26</f>
        <v>1603.3879125826645</v>
      </c>
      <c r="K26" s="30">
        <f>J26/A26</f>
        <v>1603.3879125826645</v>
      </c>
    </row>
    <row r="27" spans="1:11" x14ac:dyDescent="0.3">
      <c r="A27" s="18">
        <f>'Passenger transport data'!H5</f>
        <v>2.5745528364422925</v>
      </c>
      <c r="B27" s="1">
        <f>C$7*A27</f>
        <v>205.96422691538339</v>
      </c>
      <c r="C27" s="76">
        <f>B27*C$5/100</f>
        <v>8.2385690766153361E-2</v>
      </c>
      <c r="D27" s="77"/>
      <c r="E27" s="78"/>
      <c r="F27" s="79">
        <f>F$26+C27</f>
        <v>6.2570219236589972</v>
      </c>
      <c r="G27" s="80"/>
      <c r="H27" s="27">
        <f>F27/A27</f>
        <v>2.4303334680462076</v>
      </c>
      <c r="I27" s="1">
        <f>C$6*B27</f>
        <v>20.59642269153834</v>
      </c>
      <c r="J27" s="1">
        <f>F27*(I27+J$26)</f>
        <v>10161.30558948947</v>
      </c>
      <c r="K27" s="27">
        <f>J27/A27</f>
        <v>3946.823481599668</v>
      </c>
    </row>
    <row r="28" spans="1:11" x14ac:dyDescent="0.3">
      <c r="A28" s="18">
        <f>'Passenger transport data'!I5</f>
        <v>8.0960781020197885</v>
      </c>
      <c r="B28" s="1">
        <f t="shared" ref="B28:B29" si="19">C$7*A28</f>
        <v>647.68624816158308</v>
      </c>
      <c r="C28" s="76">
        <f t="shared" ref="C28:C29" si="20">B28*C$5/100</f>
        <v>0.25907449926463327</v>
      </c>
      <c r="D28" s="77"/>
      <c r="E28" s="78"/>
      <c r="F28" s="79">
        <f t="shared" ref="F28:F29" si="21">F$26+C28</f>
        <v>6.4337107321574774</v>
      </c>
      <c r="G28" s="80"/>
      <c r="H28" s="27">
        <f t="shared" ref="H28:H29" si="22">F28/A28</f>
        <v>0.79467004283869391</v>
      </c>
      <c r="I28" s="1">
        <f t="shared" ref="I28:I29" si="23">C$6*B28</f>
        <v>64.768624816158308</v>
      </c>
      <c r="J28" s="1">
        <f t="shared" ref="J28:J29" si="24">F28*(I28+J$26)</f>
        <v>10732.436617581463</v>
      </c>
      <c r="K28" s="27">
        <f t="shared" ref="K28:K29" si="25">J28/A28</f>
        <v>1325.6340270363698</v>
      </c>
    </row>
    <row r="29" spans="1:11" x14ac:dyDescent="0.3">
      <c r="A29" s="18">
        <f>'Passenger transport data'!J5</f>
        <v>13.617603367597283</v>
      </c>
      <c r="B29" s="1">
        <f t="shared" si="19"/>
        <v>1089.4082694077827</v>
      </c>
      <c r="C29" s="76">
        <f t="shared" si="20"/>
        <v>0.43576330776311312</v>
      </c>
      <c r="D29" s="77"/>
      <c r="E29" s="78"/>
      <c r="F29" s="79">
        <f t="shared" si="21"/>
        <v>6.6103995406559575</v>
      </c>
      <c r="G29" s="80"/>
      <c r="H29" s="27">
        <f t="shared" si="22"/>
        <v>0.48543046542134011</v>
      </c>
      <c r="I29" s="1">
        <f t="shared" si="23"/>
        <v>108.94082694077827</v>
      </c>
      <c r="J29" s="1">
        <f t="shared" si="24"/>
        <v>11319.177113197762</v>
      </c>
      <c r="K29" s="27">
        <f t="shared" si="25"/>
        <v>831.21653698120156</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6.1746362328928441</v>
      </c>
      <c r="G31" s="82"/>
      <c r="H31" s="30">
        <f>F31/A31</f>
        <v>6.1746362328928441</v>
      </c>
      <c r="I31" s="1">
        <v>0</v>
      </c>
      <c r="J31" s="1">
        <f>K$8*F31</f>
        <v>2447.9598011630696</v>
      </c>
      <c r="K31" s="30">
        <f>J31/A31</f>
        <v>2447.9598011630696</v>
      </c>
    </row>
    <row r="32" spans="1:11" x14ac:dyDescent="0.3">
      <c r="A32" s="18">
        <f>'Passenger transport data'!H5</f>
        <v>2.5745528364422925</v>
      </c>
      <c r="B32" s="1">
        <f>C$7*A32</f>
        <v>205.96422691538339</v>
      </c>
      <c r="C32" s="76">
        <f>B32*C$5/100</f>
        <v>8.2385690766153361E-2</v>
      </c>
      <c r="D32" s="77"/>
      <c r="E32" s="78"/>
      <c r="F32" s="79">
        <f>F$31+C32</f>
        <v>6.2570219236589972</v>
      </c>
      <c r="G32" s="80"/>
      <c r="H32" s="27">
        <f>F32/A32</f>
        <v>2.4303334680462076</v>
      </c>
      <c r="I32" s="1">
        <f>C$6*B32</f>
        <v>20.59642269153834</v>
      </c>
      <c r="J32" s="1">
        <f>F32*(I32+J$31)</f>
        <v>15445.81041244315</v>
      </c>
      <c r="K32" s="27">
        <f t="shared" ref="K32:K34" si="26">J32/A32</f>
        <v>5999.4148085876195</v>
      </c>
    </row>
    <row r="33" spans="1:11" x14ac:dyDescent="0.3">
      <c r="A33" s="18">
        <f>'Passenger transport data'!I5</f>
        <v>8.0960781020197885</v>
      </c>
      <c r="B33" s="1">
        <f t="shared" ref="B33:B34" si="27">C$7*A33</f>
        <v>647.68624816158308</v>
      </c>
      <c r="C33" s="76">
        <f t="shared" ref="C33:C34" si="28">B33*C$5/100</f>
        <v>0.25907449926463327</v>
      </c>
      <c r="D33" s="77"/>
      <c r="E33" s="78"/>
      <c r="F33" s="79">
        <f t="shared" ref="F33:F34" si="29">F$31+C33</f>
        <v>6.4337107321574774</v>
      </c>
      <c r="G33" s="80"/>
      <c r="H33" s="27">
        <f t="shared" ref="H33:H34" si="30">F33/A33</f>
        <v>0.79467004283869391</v>
      </c>
      <c r="I33" s="1">
        <f t="shared" ref="I33:I34" si="31">C$6*B33</f>
        <v>64.768624816158308</v>
      </c>
      <c r="J33" s="1">
        <f t="shared" ref="J33:J34" si="32">F33*(I33+J$31)</f>
        <v>16166.167841219723</v>
      </c>
      <c r="K33" s="27">
        <f t="shared" si="26"/>
        <v>1996.7900059149169</v>
      </c>
    </row>
    <row r="34" spans="1:11" x14ac:dyDescent="0.3">
      <c r="A34" s="18">
        <f>'Passenger transport data'!J5</f>
        <v>13.617603367597283</v>
      </c>
      <c r="B34" s="1">
        <f t="shared" si="27"/>
        <v>1089.4082694077827</v>
      </c>
      <c r="C34" s="76">
        <f t="shared" si="28"/>
        <v>0.43576330776311312</v>
      </c>
      <c r="D34" s="77"/>
      <c r="E34" s="78"/>
      <c r="F34" s="79">
        <f t="shared" si="29"/>
        <v>6.6103995406559575</v>
      </c>
      <c r="G34" s="80"/>
      <c r="H34" s="27">
        <f t="shared" si="30"/>
        <v>0.48543046542134011</v>
      </c>
      <c r="I34" s="1">
        <f t="shared" si="31"/>
        <v>108.94082694077827</v>
      </c>
      <c r="J34" s="1">
        <f t="shared" si="32"/>
        <v>16902.134737520606</v>
      </c>
      <c r="K34" s="27">
        <f t="shared" si="26"/>
        <v>1241.1974619365678</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abSelected="1" topLeftCell="H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250.04040162812385</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0.61806529231588325</v>
      </c>
      <c r="G11" s="98"/>
      <c r="H11" s="27">
        <f>F11/A11</f>
        <v>0.61806529231588325</v>
      </c>
      <c r="I11" s="1">
        <v>0</v>
      </c>
      <c r="J11" s="1">
        <f>C$8*F11</f>
        <v>154.54129392306723</v>
      </c>
      <c r="K11" s="27">
        <f>J11/A11</f>
        <v>154.54129392306723</v>
      </c>
    </row>
    <row r="12" spans="1:11" x14ac:dyDescent="0.3">
      <c r="A12" s="1">
        <v>2</v>
      </c>
      <c r="B12" s="1">
        <f>B11+C$7</f>
        <v>80</v>
      </c>
      <c r="C12" s="82">
        <f>C$5*B12/100</f>
        <v>3.2000000000000001E-2</v>
      </c>
      <c r="D12" s="82"/>
      <c r="E12" s="82"/>
      <c r="F12" s="82">
        <f>F$11+C12</f>
        <v>0.65006529231588328</v>
      </c>
      <c r="G12" s="82"/>
      <c r="H12" s="27">
        <f t="shared" ref="H12:H15" si="0">F12/A12</f>
        <v>0.32503264615794164</v>
      </c>
      <c r="I12" s="1">
        <f>C$6*B12</f>
        <v>8</v>
      </c>
      <c r="J12" s="1">
        <f>F12*(I12+J$11)</f>
        <v>105.66245374750061</v>
      </c>
      <c r="K12" s="27">
        <f t="shared" ref="K12:K15" si="1">J12/A12</f>
        <v>52.831226873750303</v>
      </c>
    </row>
    <row r="13" spans="1:11" x14ac:dyDescent="0.3">
      <c r="A13" s="1">
        <v>3</v>
      </c>
      <c r="B13" s="1">
        <f t="shared" ref="B13:B15" si="2">B12+C$7</f>
        <v>160</v>
      </c>
      <c r="C13" s="82">
        <f>C$5*B13/100</f>
        <v>6.4000000000000001E-2</v>
      </c>
      <c r="D13" s="82"/>
      <c r="E13" s="82"/>
      <c r="F13" s="82">
        <f t="shared" ref="F13:F15" si="3">F$11+C13</f>
        <v>0.6820652923158832</v>
      </c>
      <c r="G13" s="82"/>
      <c r="H13" s="27">
        <f t="shared" si="0"/>
        <v>0.22735509743862772</v>
      </c>
      <c r="I13" s="1">
        <f t="shared" ref="I13:I15" si="4">C$6*B13</f>
        <v>16</v>
      </c>
      <c r="J13" s="1">
        <f t="shared" ref="J13:J15" si="5">F13*(I13+J$11)</f>
        <v>116.32029749156581</v>
      </c>
      <c r="K13" s="27">
        <f t="shared" si="1"/>
        <v>38.773432497188601</v>
      </c>
    </row>
    <row r="14" spans="1:11" x14ac:dyDescent="0.3">
      <c r="A14" s="1">
        <v>4</v>
      </c>
      <c r="B14" s="1">
        <f t="shared" si="2"/>
        <v>240</v>
      </c>
      <c r="C14" s="82">
        <f>C$5*B14/100</f>
        <v>9.6000000000000002E-2</v>
      </c>
      <c r="D14" s="82"/>
      <c r="E14" s="82"/>
      <c r="F14" s="82">
        <f t="shared" si="3"/>
        <v>0.71406529231588323</v>
      </c>
      <c r="G14" s="82"/>
      <c r="H14" s="27">
        <f t="shared" si="0"/>
        <v>0.17851632307897081</v>
      </c>
      <c r="I14" s="1">
        <f t="shared" si="4"/>
        <v>24</v>
      </c>
      <c r="J14" s="1">
        <f t="shared" si="5"/>
        <v>127.49014123563103</v>
      </c>
      <c r="K14" s="27">
        <f t="shared" si="1"/>
        <v>31.872535308907757</v>
      </c>
    </row>
    <row r="15" spans="1:11" x14ac:dyDescent="0.3">
      <c r="A15" s="1">
        <v>5</v>
      </c>
      <c r="B15" s="1">
        <f t="shared" si="2"/>
        <v>320</v>
      </c>
      <c r="C15" s="82">
        <f>C$5*B15/100</f>
        <v>0.128</v>
      </c>
      <c r="D15" s="82"/>
      <c r="E15" s="82"/>
      <c r="F15" s="82">
        <f t="shared" si="3"/>
        <v>0.74606529231588326</v>
      </c>
      <c r="G15" s="82"/>
      <c r="H15" s="27">
        <f t="shared" si="0"/>
        <v>0.14921305846317665</v>
      </c>
      <c r="I15" s="1">
        <f t="shared" si="4"/>
        <v>32</v>
      </c>
      <c r="J15" s="1">
        <f t="shared" si="5"/>
        <v>139.17198497969625</v>
      </c>
      <c r="K15" s="27">
        <f t="shared" si="1"/>
        <v>27.834396995939251</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0.41069161359334416</v>
      </c>
      <c r="G17" s="98"/>
      <c r="H17" s="27">
        <f>F17/A17</f>
        <v>0.41069161359334416</v>
      </c>
      <c r="I17" s="1">
        <v>0</v>
      </c>
      <c r="J17" s="1">
        <f>C$8*F17</f>
        <v>102.68949600818202</v>
      </c>
      <c r="K17" s="27">
        <f>J17/A17</f>
        <v>102.68949600818202</v>
      </c>
    </row>
    <row r="18" spans="1:11" x14ac:dyDescent="0.3">
      <c r="A18" s="1">
        <v>2</v>
      </c>
      <c r="B18" s="1">
        <f>C7+B17</f>
        <v>80</v>
      </c>
      <c r="C18" s="82">
        <f>C$5*B18/100</f>
        <v>3.2000000000000001E-2</v>
      </c>
      <c r="D18" s="82"/>
      <c r="E18" s="82"/>
      <c r="F18" s="82">
        <f>F17+C18</f>
        <v>0.44269161359334419</v>
      </c>
      <c r="G18" s="82"/>
      <c r="H18" s="27">
        <f>F18/A18</f>
        <v>0.2213458067966721</v>
      </c>
      <c r="I18" s="1">
        <f>C6*B18</f>
        <v>8</v>
      </c>
      <c r="J18" s="1">
        <f>F18*(I18+J17)</f>
        <v>49.00131159569613</v>
      </c>
      <c r="K18" s="27">
        <f>J18/A18</f>
        <v>24.500655797848065</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6.1746362328928441</v>
      </c>
      <c r="G20" s="95"/>
      <c r="H20" s="30">
        <f>F20/A20</f>
        <v>6.1746362328928441</v>
      </c>
      <c r="I20" s="1">
        <v>0</v>
      </c>
      <c r="J20" s="1">
        <f>C$8*F20</f>
        <v>1543.9085235800924</v>
      </c>
      <c r="K20" s="1">
        <f>J20/A20</f>
        <v>1543.9085235800924</v>
      </c>
    </row>
    <row r="21" spans="1:11" x14ac:dyDescent="0.3">
      <c r="A21" s="18">
        <f>'Passenger transport data'!H5</f>
        <v>2.5745528364422925</v>
      </c>
      <c r="B21" s="1">
        <f>C$7*A21</f>
        <v>205.96422691538339</v>
      </c>
      <c r="C21" s="76">
        <f>B21*C$5/100</f>
        <v>8.2385690766153361E-2</v>
      </c>
      <c r="D21" s="77"/>
      <c r="E21" s="78"/>
      <c r="F21" s="96">
        <f>F$20+C21</f>
        <v>6.2570219236589972</v>
      </c>
      <c r="G21" s="97"/>
      <c r="H21" s="27">
        <f t="shared" ref="H21:H23" si="6">F21/A21</f>
        <v>2.4303334680462076</v>
      </c>
      <c r="I21" s="1">
        <f>C$6*B21</f>
        <v>20.59642269153834</v>
      </c>
      <c r="J21" s="1">
        <f>F21*(I21+J$20)</f>
        <v>9789.1417484945341</v>
      </c>
      <c r="K21" s="27">
        <f t="shared" ref="K21:K23" si="7">J21/A21</f>
        <v>3802.2687318477774</v>
      </c>
    </row>
    <row r="22" spans="1:11" x14ac:dyDescent="0.3">
      <c r="A22" s="18">
        <f>'Passenger transport data'!I5</f>
        <v>8.0960781020197885</v>
      </c>
      <c r="B22" s="1">
        <f t="shared" ref="B22:B23" si="8">C$7*A22</f>
        <v>647.68624816158308</v>
      </c>
      <c r="C22" s="76">
        <f t="shared" ref="C22:C23" si="9">B22*C$5/100</f>
        <v>0.25907449926463327</v>
      </c>
      <c r="D22" s="77"/>
      <c r="E22" s="78"/>
      <c r="F22" s="76">
        <f>F$20+C22</f>
        <v>6.4337107321574774</v>
      </c>
      <c r="G22" s="78"/>
      <c r="H22" s="27">
        <f t="shared" si="6"/>
        <v>0.79467004283869391</v>
      </c>
      <c r="I22" s="1">
        <f t="shared" ref="I22:I23" si="10">C$6*B22</f>
        <v>64.768624816158308</v>
      </c>
      <c r="J22" s="1">
        <f t="shared" ref="J22:J23" si="11">F22*(I22+J$20)</f>
        <v>10349.763434213444</v>
      </c>
      <c r="K22" s="27">
        <f t="shared" si="7"/>
        <v>1278.3675384296764</v>
      </c>
    </row>
    <row r="23" spans="1:11" x14ac:dyDescent="0.3">
      <c r="A23" s="18">
        <f>'Passenger transport data'!J5</f>
        <v>13.617603367597283</v>
      </c>
      <c r="B23" s="1">
        <f t="shared" si="8"/>
        <v>1089.4082694077827</v>
      </c>
      <c r="C23" s="76">
        <f t="shared" si="9"/>
        <v>0.43576330776311312</v>
      </c>
      <c r="D23" s="77"/>
      <c r="E23" s="78"/>
      <c r="F23" s="76">
        <f t="shared" ref="F23" si="12">F$20+C23</f>
        <v>6.6103995406559575</v>
      </c>
      <c r="G23" s="78"/>
      <c r="H23" s="27">
        <f t="shared" si="6"/>
        <v>0.48543046542134011</v>
      </c>
      <c r="I23" s="1">
        <f t="shared" si="10"/>
        <v>108.94082694077827</v>
      </c>
      <c r="J23" s="1">
        <f t="shared" si="11"/>
        <v>10925.994587456662</v>
      </c>
      <c r="K23" s="27">
        <f t="shared" si="7"/>
        <v>802.34342949470602</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38.219110499436461</v>
      </c>
      <c r="B26" s="1">
        <f>C$7*A26</f>
        <v>3057.5288399549167</v>
      </c>
      <c r="C26" s="76">
        <f>B26*C$5/100</f>
        <v>1.2230115359819669</v>
      </c>
      <c r="D26" s="77"/>
      <c r="E26" s="78"/>
      <c r="F26" s="79">
        <f>F$25+C26</f>
        <v>20.447401535981971</v>
      </c>
      <c r="G26" s="80"/>
      <c r="H26" s="27">
        <f t="shared" ref="H26:H28" si="13">F26/A26</f>
        <v>0.53500464214842125</v>
      </c>
      <c r="I26" s="1">
        <f>C$6*B26</f>
        <v>305.75288399549169</v>
      </c>
      <c r="J26" s="1">
        <f>F26*(I26+J$25)</f>
        <v>111030.47168067278</v>
      </c>
      <c r="K26" s="27">
        <f t="shared" ref="K26:K28" si="14">J26/A26</f>
        <v>2905.1035000490115</v>
      </c>
    </row>
    <row r="27" spans="1:11" x14ac:dyDescent="0.3">
      <c r="A27" s="37">
        <f>'Passenger transport data'!I7</f>
        <v>120.18588207369956</v>
      </c>
      <c r="B27" s="1">
        <f t="shared" ref="B27" si="15">C$7*A27</f>
        <v>9614.8705658959643</v>
      </c>
      <c r="C27" s="76">
        <f t="shared" ref="C27:C28" si="16">B27*C$5/100</f>
        <v>3.8459482263583857</v>
      </c>
      <c r="D27" s="77"/>
      <c r="E27" s="78"/>
      <c r="F27" s="79">
        <f t="shared" ref="F27:F28" si="17">F$25+C27</f>
        <v>23.070338226358388</v>
      </c>
      <c r="G27" s="80"/>
      <c r="H27" s="27">
        <f t="shared" si="13"/>
        <v>0.19195547620319792</v>
      </c>
      <c r="I27" s="1">
        <f t="shared" ref="I27" si="18">C$6*B27</f>
        <v>961.48705658959648</v>
      </c>
      <c r="J27" s="1">
        <f t="shared" ref="J27:J28" si="19">F27*(I27+J$25)</f>
        <v>140401.16576911608</v>
      </c>
      <c r="K27" s="27">
        <f t="shared" si="14"/>
        <v>1168.2001525189144</v>
      </c>
    </row>
    <row r="28" spans="1:11" x14ac:dyDescent="0.3">
      <c r="A28" s="37">
        <f>'Passenger transport data'!J7</f>
        <v>202.15265364796267</v>
      </c>
      <c r="B28" s="1">
        <f>C$7*A28</f>
        <v>16172.212291837013</v>
      </c>
      <c r="C28" s="76">
        <f t="shared" si="16"/>
        <v>6.4688849167348055</v>
      </c>
      <c r="D28" s="77"/>
      <c r="E28" s="78"/>
      <c r="F28" s="79">
        <f t="shared" si="17"/>
        <v>25.693274916734808</v>
      </c>
      <c r="G28" s="80"/>
      <c r="H28" s="27">
        <f t="shared" si="13"/>
        <v>0.12709838062021281</v>
      </c>
      <c r="I28" s="1">
        <f>C$6*B28</f>
        <v>1617.2212291837013</v>
      </c>
      <c r="J28" s="1">
        <f t="shared" si="19"/>
        <v>173211.75829842084</v>
      </c>
      <c r="K28" s="27">
        <f t="shared" si="14"/>
        <v>856.83643114603512</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250.04040162812385</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318</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0.32669828507798149</v>
      </c>
      <c r="G11" s="98"/>
      <c r="H11" s="27">
        <f>F11/A11</f>
        <v>0.32669828507798149</v>
      </c>
      <c r="I11" s="1">
        <v>0</v>
      </c>
      <c r="J11" s="1">
        <f>C$8*F11</f>
        <v>103.89005465479811</v>
      </c>
      <c r="K11" s="27">
        <f>J11/A11</f>
        <v>103.89005465479811</v>
      </c>
    </row>
    <row r="12" spans="1:11" x14ac:dyDescent="0.3">
      <c r="A12" s="1">
        <v>2</v>
      </c>
      <c r="B12" s="1">
        <f>B11+C$7</f>
        <v>70</v>
      </c>
      <c r="C12" s="82">
        <f t="shared" ref="C12:C15" si="0">C$4*B12/100</f>
        <v>5.9500000000000004E-3</v>
      </c>
      <c r="D12" s="82"/>
      <c r="E12" s="82"/>
      <c r="F12" s="82">
        <f>F$11+C12</f>
        <v>0.3326482850779815</v>
      </c>
      <c r="G12" s="82"/>
      <c r="H12" s="27">
        <f t="shared" ref="H12:H15" si="1">F12/A12</f>
        <v>0.16632414253899075</v>
      </c>
      <c r="I12" s="1">
        <f>C$6*B12</f>
        <v>1.9599999999999997</v>
      </c>
      <c r="J12" s="1">
        <f>F12*(I12+J$11)</f>
        <v>35.2108391563292</v>
      </c>
      <c r="K12" s="27">
        <f t="shared" ref="K12:K15" si="2">J12/A12</f>
        <v>17.6054195781646</v>
      </c>
    </row>
    <row r="13" spans="1:11" x14ac:dyDescent="0.3">
      <c r="A13" s="1">
        <v>3</v>
      </c>
      <c r="B13" s="1">
        <f t="shared" ref="B13:B15" si="3">B12+C$7</f>
        <v>140</v>
      </c>
      <c r="C13" s="82">
        <f t="shared" si="0"/>
        <v>1.1900000000000001E-2</v>
      </c>
      <c r="D13" s="82"/>
      <c r="E13" s="82"/>
      <c r="F13" s="82">
        <f t="shared" ref="F13:F15" si="4">F$11+C13</f>
        <v>0.33859828507798151</v>
      </c>
      <c r="G13" s="82"/>
      <c r="H13" s="27">
        <f t="shared" si="1"/>
        <v>0.11286609502599383</v>
      </c>
      <c r="I13" s="1">
        <f t="shared" ref="I13:I15" si="5">C$6*B13</f>
        <v>3.9199999999999995</v>
      </c>
      <c r="J13" s="1">
        <f t="shared" ref="J13:J15" si="6">F13*(I13+J$11)</f>
        <v>36.504299620278097</v>
      </c>
      <c r="K13" s="27">
        <f t="shared" si="2"/>
        <v>12.168099873426032</v>
      </c>
    </row>
    <row r="14" spans="1:11" x14ac:dyDescent="0.3">
      <c r="A14" s="1">
        <v>4</v>
      </c>
      <c r="B14" s="1">
        <f t="shared" si="3"/>
        <v>210</v>
      </c>
      <c r="C14" s="82">
        <f t="shared" si="0"/>
        <v>1.7850000000000001E-2</v>
      </c>
      <c r="D14" s="82"/>
      <c r="E14" s="82"/>
      <c r="F14" s="82">
        <f t="shared" si="4"/>
        <v>0.34454828507798146</v>
      </c>
      <c r="G14" s="82"/>
      <c r="H14" s="27">
        <f t="shared" si="1"/>
        <v>8.6137071269495366E-2</v>
      </c>
      <c r="I14" s="1">
        <f t="shared" si="5"/>
        <v>5.879999999999999</v>
      </c>
      <c r="J14" s="1">
        <f t="shared" si="6"/>
        <v>37.821084084226982</v>
      </c>
      <c r="K14" s="27">
        <f t="shared" si="2"/>
        <v>9.4552710210567454</v>
      </c>
    </row>
    <row r="15" spans="1:11" x14ac:dyDescent="0.3">
      <c r="A15" s="1">
        <v>5</v>
      </c>
      <c r="B15" s="1">
        <f t="shared" si="3"/>
        <v>280</v>
      </c>
      <c r="C15" s="82">
        <f t="shared" si="0"/>
        <v>2.3800000000000002E-2</v>
      </c>
      <c r="D15" s="82"/>
      <c r="E15" s="82"/>
      <c r="F15" s="82">
        <f t="shared" si="4"/>
        <v>0.35049828507798148</v>
      </c>
      <c r="G15" s="82"/>
      <c r="H15" s="27">
        <f t="shared" si="1"/>
        <v>7.0099657015596298E-2</v>
      </c>
      <c r="I15" s="1">
        <f t="shared" si="5"/>
        <v>7.839999999999999</v>
      </c>
      <c r="J15" s="1">
        <f t="shared" si="6"/>
        <v>39.161192548175876</v>
      </c>
      <c r="K15" s="27">
        <f t="shared" si="2"/>
        <v>7.8322385096351752</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0.40975192591473253</v>
      </c>
      <c r="G17" s="95"/>
      <c r="H17" s="27">
        <f>F17/A17</f>
        <v>0.40975192591473253</v>
      </c>
      <c r="I17" s="1">
        <v>0</v>
      </c>
      <c r="J17" s="1">
        <f>F17*(0.5*C$8+0.5*F$6)</f>
        <v>116.37782428225096</v>
      </c>
      <c r="K17" s="27">
        <f>J17/A17</f>
        <v>116.37782428225096</v>
      </c>
    </row>
    <row r="18" spans="1:11" x14ac:dyDescent="0.3">
      <c r="A18" s="1">
        <v>2</v>
      </c>
      <c r="B18" s="1">
        <f>C$7+B17</f>
        <v>70</v>
      </c>
      <c r="C18" s="76">
        <f>B18*(0.5*C$4+0.5*'Transport c&amp;e fuel vehicles'!C$5)/100</f>
        <v>1.6975000000000001E-2</v>
      </c>
      <c r="D18" s="77"/>
      <c r="E18" s="78"/>
      <c r="F18" s="76">
        <f>F$17+C18</f>
        <v>0.42672692591473255</v>
      </c>
      <c r="G18" s="78"/>
      <c r="H18" s="27">
        <f t="shared" ref="H18:H21" si="7">F18/A18</f>
        <v>0.21336346295736627</v>
      </c>
      <c r="I18" s="1">
        <f>B18*(0.5*C$6+0.5*'Transport c&amp;e fuel vehicles'!C$6)/100</f>
        <v>4.4800000000000006E-2</v>
      </c>
      <c r="J18" s="1">
        <f>F18*(I18+J$17)</f>
        <v>49.680668566890844</v>
      </c>
      <c r="K18" s="27">
        <f t="shared" ref="K18:K21" si="8">J18/A18</f>
        <v>24.840334283445422</v>
      </c>
    </row>
    <row r="19" spans="1:11" x14ac:dyDescent="0.3">
      <c r="A19" s="1">
        <v>3</v>
      </c>
      <c r="B19" s="1">
        <f t="shared" ref="B19:B21" si="9">C$7+B18</f>
        <v>140</v>
      </c>
      <c r="C19" s="76">
        <f>B19*(0.5*C$4+0.5*'Transport c&amp;e fuel vehicles'!C$5)/100</f>
        <v>3.3950000000000001E-2</v>
      </c>
      <c r="D19" s="77"/>
      <c r="E19" s="78"/>
      <c r="F19" s="76">
        <f t="shared" ref="F19:F21" si="10">F$17+C19</f>
        <v>0.44370192591473251</v>
      </c>
      <c r="G19" s="78"/>
      <c r="H19" s="27">
        <f t="shared" si="7"/>
        <v>0.14790064197157751</v>
      </c>
      <c r="I19" s="1">
        <f>B19*(0.5*C$6+0.5*'Transport c&amp;e fuel vehicles'!C$6)/100</f>
        <v>8.9600000000000013E-2</v>
      </c>
      <c r="J19" s="1">
        <f t="shared" ref="J19:J21" si="11">F19*(I19+J$17)</f>
        <v>51.676820460363032</v>
      </c>
      <c r="K19" s="27">
        <f t="shared" si="8"/>
        <v>17.225606820121012</v>
      </c>
    </row>
    <row r="20" spans="1:11" x14ac:dyDescent="0.3">
      <c r="A20" s="1">
        <v>4</v>
      </c>
      <c r="B20" s="1">
        <f t="shared" si="9"/>
        <v>210</v>
      </c>
      <c r="C20" s="76">
        <f>B20*(0.5*C$4+0.5*'Transport c&amp;e fuel vehicles'!C$5)/100</f>
        <v>5.0925000000000005E-2</v>
      </c>
      <c r="D20" s="77"/>
      <c r="E20" s="78"/>
      <c r="F20" s="76">
        <f t="shared" si="10"/>
        <v>0.46067692591473253</v>
      </c>
      <c r="G20" s="78"/>
      <c r="H20" s="27">
        <f t="shared" si="7"/>
        <v>0.11516923147868313</v>
      </c>
      <c r="I20" s="1">
        <f>B20*(0.5*C$6+0.5*'Transport c&amp;e fuel vehicles'!C$6)/100</f>
        <v>0.13439999999999999</v>
      </c>
      <c r="J20" s="1">
        <f t="shared" si="11"/>
        <v>53.674493313835221</v>
      </c>
      <c r="K20" s="27">
        <f t="shared" si="8"/>
        <v>13.418623328458805</v>
      </c>
    </row>
    <row r="21" spans="1:11" x14ac:dyDescent="0.3">
      <c r="A21" s="1">
        <v>5</v>
      </c>
      <c r="B21" s="1">
        <f t="shared" si="9"/>
        <v>280</v>
      </c>
      <c r="C21" s="76">
        <f>B21*(0.5*C$4+0.5*'Transport c&amp;e fuel vehicles'!C$5)/100</f>
        <v>6.7900000000000002E-2</v>
      </c>
      <c r="D21" s="77"/>
      <c r="E21" s="78"/>
      <c r="F21" s="76">
        <f t="shared" si="10"/>
        <v>0.47765192591473254</v>
      </c>
      <c r="G21" s="78"/>
      <c r="H21" s="27">
        <f t="shared" si="7"/>
        <v>9.5530385182946514E-2</v>
      </c>
      <c r="I21" s="1">
        <f>B21*(0.5*C$6+0.5*'Transport c&amp;e fuel vehicles'!C$6)/100</f>
        <v>0.17920000000000003</v>
      </c>
      <c r="J21" s="1">
        <f t="shared" si="11"/>
        <v>55.67368712730741</v>
      </c>
      <c r="K21" s="27">
        <f t="shared" si="8"/>
        <v>11.134737425461482</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0.13219884093853204</v>
      </c>
      <c r="G23" s="98"/>
      <c r="H23" s="27">
        <f>F23/A23</f>
        <v>0.13219884093853204</v>
      </c>
      <c r="I23" s="1">
        <v>0</v>
      </c>
      <c r="J23" s="1">
        <f>C$8*F23</f>
        <v>42.039231418453191</v>
      </c>
      <c r="K23" s="27">
        <f>J23/A23</f>
        <v>42.039231418453191</v>
      </c>
    </row>
    <row r="24" spans="1:11" x14ac:dyDescent="0.3">
      <c r="A24" s="1">
        <v>2</v>
      </c>
      <c r="B24" s="1">
        <f>C7+B23</f>
        <v>70</v>
      </c>
      <c r="C24" s="82">
        <f>C$5*B24/100</f>
        <v>0</v>
      </c>
      <c r="D24" s="82"/>
      <c r="E24" s="82"/>
      <c r="F24" s="82">
        <f>F23+C24</f>
        <v>0.13219884093853204</v>
      </c>
      <c r="G24" s="82"/>
      <c r="H24" s="27">
        <f>F24/A24</f>
        <v>6.6099420469266021E-2</v>
      </c>
      <c r="I24" s="1">
        <f>C6*B24</f>
        <v>1.9599999999999997</v>
      </c>
      <c r="J24" s="1">
        <f>F24*(I24+J23)</f>
        <v>5.816647395705755</v>
      </c>
      <c r="K24" s="27">
        <f>J24/A24</f>
        <v>2.9083236978528775</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1.1871303963589444E-2</v>
      </c>
      <c r="G26" s="95"/>
      <c r="H26" s="27">
        <f>F26/A26</f>
        <v>1.1871303963589444E-2</v>
      </c>
      <c r="I26" s="1">
        <v>0</v>
      </c>
      <c r="J26" s="1">
        <f>C$8*F26</f>
        <v>3.7750746604214434</v>
      </c>
      <c r="K26" s="27">
        <f>J26/A26</f>
        <v>3.7750746604214434</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2.5736986993061917E-2</v>
      </c>
      <c r="G28" s="95"/>
      <c r="H28" s="27">
        <f>F28/A28</f>
        <v>2.5736986993061917E-2</v>
      </c>
      <c r="I28" s="1">
        <v>0</v>
      </c>
      <c r="J28" s="1">
        <f>C$8*F28</f>
        <v>8.1843618637936899</v>
      </c>
      <c r="K28" s="27">
        <f>J28/A28</f>
        <v>8.1843618637936899</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3.6998855733284652</v>
      </c>
      <c r="G30" s="95"/>
      <c r="H30" s="2">
        <f>F30/A30</f>
        <v>3.6998855733284652</v>
      </c>
      <c r="I30" s="1">
        <v>0</v>
      </c>
      <c r="J30" s="1">
        <f>C$8*F30</f>
        <v>1176.563612318452</v>
      </c>
      <c r="K30" s="27">
        <f>J30/A30</f>
        <v>1176.563612318452</v>
      </c>
    </row>
    <row r="31" spans="1:11" x14ac:dyDescent="0.3">
      <c r="A31" s="18">
        <f>'Passenger transport data'!H6</f>
        <v>25.659037680913016</v>
      </c>
      <c r="B31" s="1">
        <f>C$7*A31</f>
        <v>1796.1326376639111</v>
      </c>
      <c r="C31" s="76">
        <f t="shared" ref="C31:C33" si="12">C$4*B31/100</f>
        <v>0.15267127420143245</v>
      </c>
      <c r="D31" s="77"/>
      <c r="E31" s="78"/>
      <c r="F31" s="76">
        <f>F$30+C31</f>
        <v>3.8525568475298977</v>
      </c>
      <c r="G31" s="78"/>
      <c r="H31" s="27">
        <f t="shared" ref="H31:H33" si="13">F31/A31</f>
        <v>0.15014424529239842</v>
      </c>
      <c r="I31" s="1">
        <f>C$6*B31</f>
        <v>50.291713854589503</v>
      </c>
      <c r="J31" s="1">
        <f>F31*(I31+J$30)</f>
        <v>4726.5298877764772</v>
      </c>
      <c r="K31" s="27">
        <f t="shared" ref="K31:K33" si="14">J31/A31</f>
        <v>184.20526703121061</v>
      </c>
    </row>
    <row r="32" spans="1:11" x14ac:dyDescent="0.3">
      <c r="A32" s="18">
        <f>'Passenger transport data'!I6</f>
        <v>80.688797738720169</v>
      </c>
      <c r="B32" s="1">
        <f>C$7*A32</f>
        <v>5648.215841710412</v>
      </c>
      <c r="C32" s="76">
        <f t="shared" si="12"/>
        <v>0.48009834654538508</v>
      </c>
      <c r="D32" s="77"/>
      <c r="E32" s="78"/>
      <c r="F32" s="76">
        <f t="shared" ref="F32:F33" si="15">F$30+C32</f>
        <v>4.17998391987385</v>
      </c>
      <c r="G32" s="78"/>
      <c r="H32" s="27">
        <f t="shared" si="13"/>
        <v>5.1803770002982696E-2</v>
      </c>
      <c r="I32" s="1">
        <f t="shared" ref="I32:I33" si="16">C$6*B32</f>
        <v>158.15004356789152</v>
      </c>
      <c r="J32" s="1">
        <f t="shared" ref="J32:J33" si="17">F32*(I32+J$30)</f>
        <v>5579.0816192409548</v>
      </c>
      <c r="K32" s="27">
        <f t="shared" si="14"/>
        <v>69.143199249376323</v>
      </c>
    </row>
    <row r="33" spans="1:11" x14ac:dyDescent="0.3">
      <c r="A33" s="18">
        <f>'Passenger transport data'!J6</f>
        <v>135.71855779652731</v>
      </c>
      <c r="B33" s="1">
        <f>C$7*A33</f>
        <v>9500.2990457569122</v>
      </c>
      <c r="C33" s="76">
        <f t="shared" si="12"/>
        <v>0.8075254188893376</v>
      </c>
      <c r="D33" s="77"/>
      <c r="E33" s="78"/>
      <c r="F33" s="76">
        <f t="shared" si="15"/>
        <v>4.5074109922178032</v>
      </c>
      <c r="G33" s="78"/>
      <c r="H33" s="27">
        <f t="shared" si="13"/>
        <v>3.3211456601059876E-2</v>
      </c>
      <c r="I33" s="1">
        <f t="shared" si="16"/>
        <v>266.00837328119349</v>
      </c>
      <c r="J33" s="1">
        <f t="shared" si="17"/>
        <v>6502.264824957304</v>
      </c>
      <c r="K33" s="27">
        <f t="shared" si="14"/>
        <v>47.909916893647392</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12.196990067143748</v>
      </c>
      <c r="G35" s="95"/>
      <c r="H35" s="2">
        <f>F35/A35</f>
        <v>12.196990067143748</v>
      </c>
      <c r="I35" s="1">
        <v>0</v>
      </c>
      <c r="J35" s="34">
        <f>C$8*F35</f>
        <v>3878.6428413517119</v>
      </c>
      <c r="K35" s="27">
        <f>J35/A35</f>
        <v>3878.6428413517119</v>
      </c>
    </row>
    <row r="36" spans="1:11" x14ac:dyDescent="0.3">
      <c r="A36" s="18">
        <f>'Passenger transport data'!H7</f>
        <v>38.219110499436461</v>
      </c>
      <c r="B36" s="1">
        <f>C$7*A36</f>
        <v>2675.3377349605521</v>
      </c>
      <c r="C36" s="76">
        <f t="shared" ref="C36:C38" si="18">C$4*B36/100</f>
        <v>0.22740370747164693</v>
      </c>
      <c r="D36" s="77"/>
      <c r="E36" s="78"/>
      <c r="F36" s="76">
        <f>F$35+C36</f>
        <v>12.424393774615394</v>
      </c>
      <c r="G36" s="78"/>
      <c r="H36" s="27">
        <f t="shared" ref="H36:H38" si="19">F36/A36</f>
        <v>0.32508327934002001</v>
      </c>
      <c r="I36" s="1">
        <f>C$6*B36</f>
        <v>74.909456578895444</v>
      </c>
      <c r="J36" s="34">
        <f>F36*(I36+J$35)</f>
        <v>49120.490558025427</v>
      </c>
      <c r="K36" s="27">
        <f t="shared" ref="K36:K38" si="20">J36/A36</f>
        <v>1285.2337460535537</v>
      </c>
    </row>
    <row r="37" spans="1:11" x14ac:dyDescent="0.3">
      <c r="A37" s="18">
        <f>'Passenger transport data'!I7</f>
        <v>120.18588207369956</v>
      </c>
      <c r="B37" s="1">
        <f t="shared" ref="B37:B38" si="21">C$7*A37</f>
        <v>8413.0117451589686</v>
      </c>
      <c r="C37" s="76">
        <f t="shared" si="18"/>
        <v>0.71510599833851229</v>
      </c>
      <c r="D37" s="77"/>
      <c r="E37" s="78"/>
      <c r="F37" s="76">
        <f t="shared" ref="F37:F38" si="22">F$35+C37</f>
        <v>12.91209606548226</v>
      </c>
      <c r="G37" s="78"/>
      <c r="H37" s="27">
        <f t="shared" si="19"/>
        <v>0.10743438283012637</v>
      </c>
      <c r="I37" s="1">
        <f t="shared" ref="I37:I38" si="23">C$6*B37</f>
        <v>235.56432886445108</v>
      </c>
      <c r="J37" s="34">
        <f t="shared" ref="J37:J38" si="24">F37*(I37+J$35)</f>
        <v>53123.038215127017</v>
      </c>
      <c r="K37" s="27">
        <f t="shared" si="20"/>
        <v>442.00730816745408</v>
      </c>
    </row>
    <row r="38" spans="1:11" x14ac:dyDescent="0.3">
      <c r="A38" s="18">
        <f>'Passenger transport data'!J7</f>
        <v>202.15265364796267</v>
      </c>
      <c r="B38" s="1">
        <f t="shared" si="21"/>
        <v>14150.685755357386</v>
      </c>
      <c r="C38" s="76">
        <f t="shared" si="18"/>
        <v>1.202808289205378</v>
      </c>
      <c r="D38" s="77"/>
      <c r="E38" s="78"/>
      <c r="F38" s="76">
        <f t="shared" si="22"/>
        <v>13.399798356349127</v>
      </c>
      <c r="G38" s="78"/>
      <c r="H38" s="27">
        <f t="shared" si="19"/>
        <v>6.6285542705188091E-2</v>
      </c>
      <c r="I38" s="1">
        <f t="shared" si="23"/>
        <v>396.21920115000677</v>
      </c>
      <c r="J38" s="34">
        <f t="shared" si="24"/>
        <v>57282.289370733801</v>
      </c>
      <c r="K38" s="27">
        <f t="shared" si="20"/>
        <v>283.36155047703528</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18.408193344889018</v>
      </c>
      <c r="G40" s="95"/>
      <c r="H40" s="1">
        <f>F40/A40</f>
        <v>18.408193344889018</v>
      </c>
      <c r="I40" s="1">
        <v>0</v>
      </c>
      <c r="J40" s="1">
        <f>C$8*F40</f>
        <v>5853.8054836747078</v>
      </c>
      <c r="K40" s="1">
        <f>J40/A40</f>
        <v>5853.8054836747078</v>
      </c>
    </row>
    <row r="41" spans="1:11" x14ac:dyDescent="0.3">
      <c r="A41" s="18">
        <f>'Passenger transport data'!H8</f>
        <v>86.845973689244062</v>
      </c>
      <c r="B41" s="1">
        <f>C$7*A41</f>
        <v>6079.2181582470839</v>
      </c>
      <c r="C41" s="76">
        <f t="shared" ref="C41:C43" si="25">B41*C$4/100</f>
        <v>0.5167335434510022</v>
      </c>
      <c r="D41" s="77"/>
      <c r="E41" s="78"/>
      <c r="F41" s="76">
        <f>F$40+C41</f>
        <v>18.924926888340021</v>
      </c>
      <c r="G41" s="78"/>
      <c r="H41" s="27">
        <f t="shared" ref="H41:H43" si="26">F41/A41</f>
        <v>0.21791369345524292</v>
      </c>
      <c r="I41" s="1">
        <f>C$6*B41</f>
        <v>170.21810843091833</v>
      </c>
      <c r="J41" s="1">
        <f>F41*(I41+J$40)</f>
        <v>114004.20605423441</v>
      </c>
      <c r="K41" s="27">
        <f t="shared" ref="K41:K43" si="27">J41/A41</f>
        <v>1312.7172304172568</v>
      </c>
    </row>
    <row r="42" spans="1:11" x14ac:dyDescent="0.3">
      <c r="A42" s="18">
        <f>'Passenger transport data'!I8</f>
        <v>273.10054619259137</v>
      </c>
      <c r="B42" s="1">
        <f t="shared" ref="B42:B43" si="28">C$7*A42</f>
        <v>19117.038233481395</v>
      </c>
      <c r="C42" s="76">
        <f t="shared" si="25"/>
        <v>1.6249482498459187</v>
      </c>
      <c r="D42" s="77"/>
      <c r="E42" s="78"/>
      <c r="F42" s="76">
        <f>F$40+C42</f>
        <v>20.033141594734936</v>
      </c>
      <c r="G42" s="78"/>
      <c r="H42" s="27">
        <f t="shared" si="26"/>
        <v>7.3354454518767237E-2</v>
      </c>
      <c r="I42" s="1">
        <f t="shared" ref="I42:I43" si="29">C$6*B42</f>
        <v>535.27707053747895</v>
      </c>
      <c r="J42" s="1">
        <f t="shared" ref="J42:J43" si="30">F42*(I42+J$40)</f>
        <v>127993.39546898348</v>
      </c>
      <c r="K42" s="27">
        <f t="shared" si="27"/>
        <v>468.66766563960709</v>
      </c>
    </row>
    <row r="43" spans="1:11" x14ac:dyDescent="0.3">
      <c r="A43" s="18">
        <f>'Passenger transport data'!J8</f>
        <v>459.35511869593864</v>
      </c>
      <c r="B43" s="1">
        <f t="shared" si="28"/>
        <v>32154.858308715706</v>
      </c>
      <c r="C43" s="76">
        <f t="shared" si="25"/>
        <v>2.7331629562408351</v>
      </c>
      <c r="D43" s="77"/>
      <c r="E43" s="78"/>
      <c r="F43" s="76">
        <f t="shared" ref="F43" si="31">F$40+C43</f>
        <v>21.141356301129854</v>
      </c>
      <c r="G43" s="78"/>
      <c r="H43" s="27">
        <f t="shared" si="26"/>
        <v>4.6023991984998368E-2</v>
      </c>
      <c r="I43" s="1">
        <f t="shared" si="29"/>
        <v>900.33603264403962</v>
      </c>
      <c r="J43" s="1">
        <f t="shared" si="30"/>
        <v>142791.7123047481</v>
      </c>
      <c r="K43" s="27">
        <f t="shared" si="27"/>
        <v>310.85255501259877</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0.32669828507798149</v>
      </c>
    </row>
    <row r="8" spans="1:6" x14ac:dyDescent="0.3">
      <c r="B8" s="1" t="s">
        <v>99</v>
      </c>
      <c r="C8" s="1">
        <v>6.96</v>
      </c>
      <c r="D8" s="1">
        <f t="shared" ref="D8:D10" si="0">C8/100</f>
        <v>6.9599999999999995E-2</v>
      </c>
      <c r="E8" s="1">
        <f>D8/D$7</f>
        <v>0.40465116279069768</v>
      </c>
      <c r="F8" s="1">
        <f>F$7*E8</f>
        <v>0.13219884093853204</v>
      </c>
    </row>
    <row r="9" spans="1:6" x14ac:dyDescent="0.3">
      <c r="B9" s="1" t="s">
        <v>100</v>
      </c>
      <c r="C9" s="1">
        <v>0.625</v>
      </c>
      <c r="D9" s="1">
        <f t="shared" si="0"/>
        <v>6.2500000000000003E-3</v>
      </c>
      <c r="E9" s="1">
        <f>D9/D$7</f>
        <v>3.6337209302325583E-2</v>
      </c>
      <c r="F9" s="1">
        <f t="shared" ref="F9:F10" si="1">F$7*E9</f>
        <v>1.1871303963589444E-2</v>
      </c>
    </row>
    <row r="10" spans="1:6" x14ac:dyDescent="0.3">
      <c r="B10" s="1" t="s">
        <v>101</v>
      </c>
      <c r="C10" s="1">
        <v>1.355</v>
      </c>
      <c r="D10" s="1">
        <f t="shared" si="0"/>
        <v>1.355E-2</v>
      </c>
      <c r="E10" s="1">
        <f>D10/D$7</f>
        <v>7.8779069767441867E-2</v>
      </c>
      <c r="F10" s="1">
        <f t="shared" si="1"/>
        <v>2.5736986993061917E-2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2022-06-29T09:05:33Z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