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9" documentId="8_{4C372892-E9C3-428B-950B-C5A505A38EBC}" xr6:coauthVersionLast="47" xr6:coauthVersionMax="47" xr10:uidLastSave="{F205B017-F333-453B-AD2C-53CCDA768F52}"/>
  <bookViews>
    <workbookView xWindow="1152" yWindow="1152"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c r="B32" i="4"/>
  <c r="B31" i="4"/>
  <c r="B26" i="4"/>
  <c r="B25" i="4"/>
  <c r="B22"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8" i="10"/>
  <c r="B18" i="10" s="1"/>
  <c r="A33" i="10"/>
  <c r="B33" i="10" s="1"/>
  <c r="A23" i="10"/>
  <c r="B23" i="10" s="1"/>
  <c r="A28" i="10"/>
  <c r="B28"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C36" i="9" s="1"/>
  <c r="A37" i="12"/>
  <c r="A26" i="8"/>
  <c r="B26" i="8" s="1"/>
  <c r="I27" i="8"/>
  <c r="C27" i="8"/>
  <c r="F27" i="8" s="1"/>
  <c r="A38" i="9"/>
  <c r="B38" i="9" s="1"/>
  <c r="I38" i="9" s="1"/>
  <c r="A39" i="12"/>
  <c r="A28" i="8"/>
  <c r="B28" i="8" s="1"/>
  <c r="A42" i="12"/>
  <c r="A33" i="9"/>
  <c r="B33" i="9" s="1"/>
  <c r="A51" i="12"/>
  <c r="A31" i="9"/>
  <c r="B31" i="9" s="1"/>
  <c r="I31" i="9" s="1"/>
  <c r="A49" i="12"/>
  <c r="A21" i="8"/>
  <c r="B21" i="8" s="1"/>
  <c r="I21" i="8" s="1"/>
  <c r="A17" i="12"/>
  <c r="A22" i="10"/>
  <c r="B22" i="10" s="1"/>
  <c r="A32" i="10"/>
  <c r="B32" i="10" s="1"/>
  <c r="A17" i="10"/>
  <c r="B17" i="10" s="1"/>
  <c r="A27" i="10"/>
  <c r="B27" i="10" s="1"/>
  <c r="A12" i="10"/>
  <c r="B12" i="10" s="1"/>
  <c r="C28" i="10"/>
  <c r="I28" i="10"/>
  <c r="I23" i="10"/>
  <c r="C23" i="10"/>
  <c r="C13" i="10"/>
  <c r="I13" i="10"/>
  <c r="C33" i="10"/>
  <c r="I33" i="10"/>
  <c r="A19" i="12"/>
  <c r="A34" i="10"/>
  <c r="B34" i="10" s="1"/>
  <c r="A19" i="10"/>
  <c r="B19" i="10" s="1"/>
  <c r="A14" i="10"/>
  <c r="B14" i="10" s="1"/>
  <c r="A29" i="10"/>
  <c r="B29" i="10" s="1"/>
  <c r="A24" i="10"/>
  <c r="B24" i="10" s="1"/>
  <c r="C18" i="10"/>
  <c r="I18" i="10"/>
  <c r="A26" i="12"/>
  <c r="A34" i="12"/>
  <c r="A22" i="12"/>
  <c r="A30" i="12"/>
  <c r="C43" i="9"/>
  <c r="I43" i="9"/>
  <c r="C42" i="9"/>
  <c r="C41" i="9"/>
  <c r="I37" i="9"/>
  <c r="C37" i="9"/>
  <c r="C32" i="9"/>
  <c r="I32" i="9"/>
  <c r="C31" i="9"/>
  <c r="A23" i="8"/>
  <c r="B23" i="8" s="1"/>
  <c r="I23" i="8" s="1"/>
  <c r="C22" i="8"/>
  <c r="C21" i="8"/>
  <c r="D29" i="4"/>
  <c r="D26" i="4"/>
  <c r="D27" i="4"/>
  <c r="D24" i="4"/>
  <c r="D17" i="4"/>
  <c r="D16" i="4"/>
  <c r="L6" i="10" s="1"/>
  <c r="D10" i="4"/>
  <c r="F11" i="8" s="1"/>
  <c r="D11" i="4"/>
  <c r="F17" i="9" s="1"/>
  <c r="D12" i="4"/>
  <c r="D13" i="4"/>
  <c r="D8" i="4"/>
  <c r="F17" i="8" s="1"/>
  <c r="I36" i="9" l="1"/>
  <c r="F40" i="9"/>
  <c r="H40" i="9" s="1"/>
  <c r="B11" i="12"/>
  <c r="B46" i="12" s="1"/>
  <c r="B47" i="12"/>
  <c r="F35" i="9"/>
  <c r="H35" i="9" s="1"/>
  <c r="B9" i="12"/>
  <c r="B38" i="12" s="1"/>
  <c r="F30" i="9"/>
  <c r="H30" i="9" s="1"/>
  <c r="B12" i="12"/>
  <c r="B50" i="12" s="1"/>
  <c r="I28" i="8"/>
  <c r="C28" i="8"/>
  <c r="F28" i="8" s="1"/>
  <c r="C38" i="9"/>
  <c r="A43" i="12"/>
  <c r="J27" i="8"/>
  <c r="K27" i="8" s="1"/>
  <c r="H27" i="8"/>
  <c r="I26" i="8"/>
  <c r="C26" i="8"/>
  <c r="F26" i="8" s="1"/>
  <c r="A41" i="12"/>
  <c r="C42" i="12"/>
  <c r="B42" i="12"/>
  <c r="F20" i="8"/>
  <c r="F22" i="8" s="1"/>
  <c r="B4" i="12"/>
  <c r="B19" i="12" s="1"/>
  <c r="F11" i="10"/>
  <c r="H11" i="10" s="1"/>
  <c r="F31" i="10"/>
  <c r="H31" i="10" s="1"/>
  <c r="F26" i="10"/>
  <c r="F21" i="10"/>
  <c r="F16" i="10"/>
  <c r="H16" i="10" s="1"/>
  <c r="F23" i="10"/>
  <c r="H23" i="10" s="1"/>
  <c r="A31" i="12"/>
  <c r="A35" i="12"/>
  <c r="A27" i="12"/>
  <c r="A23" i="12"/>
  <c r="C12" i="10"/>
  <c r="I12" i="10"/>
  <c r="I24" i="10"/>
  <c r="C24" i="10"/>
  <c r="F24" i="10" s="1"/>
  <c r="I17" i="10"/>
  <c r="C17" i="10"/>
  <c r="F17" i="10" s="1"/>
  <c r="H17" i="10" s="1"/>
  <c r="I29" i="10"/>
  <c r="C29" i="10"/>
  <c r="F29" i="10" s="1"/>
  <c r="I32" i="10"/>
  <c r="C32" i="10"/>
  <c r="C27" i="10"/>
  <c r="F27" i="10" s="1"/>
  <c r="I27" i="10"/>
  <c r="C14" i="10"/>
  <c r="I14" i="10"/>
  <c r="I22" i="10"/>
  <c r="C22" i="10"/>
  <c r="F22" i="10" s="1"/>
  <c r="I19" i="10"/>
  <c r="C19" i="10"/>
  <c r="F19" i="10" s="1"/>
  <c r="H19" i="10" s="1"/>
  <c r="A25" i="12"/>
  <c r="A33" i="12"/>
  <c r="B17" i="12"/>
  <c r="A29" i="12"/>
  <c r="A21" i="12"/>
  <c r="I34" i="10"/>
  <c r="C34" i="10"/>
  <c r="C8" i="9"/>
  <c r="H3" i="12"/>
  <c r="C10" i="11"/>
  <c r="C8" i="8"/>
  <c r="J11" i="8" s="1"/>
  <c r="K11" i="8" s="1"/>
  <c r="F41" i="9"/>
  <c r="H41" i="9" s="1"/>
  <c r="F42" i="9"/>
  <c r="H42" i="9" s="1"/>
  <c r="F43" i="9"/>
  <c r="H43" i="9" s="1"/>
  <c r="F37" i="9"/>
  <c r="H37" i="9" s="1"/>
  <c r="F36" i="9"/>
  <c r="H36" i="9" s="1"/>
  <c r="H20" i="8"/>
  <c r="F21" i="8"/>
  <c r="F11" i="9"/>
  <c r="F7" i="7"/>
  <c r="H17" i="9"/>
  <c r="F19" i="9"/>
  <c r="F20" i="9"/>
  <c r="F21" i="9"/>
  <c r="F18" i="9"/>
  <c r="H11" i="8"/>
  <c r="F13" i="8"/>
  <c r="F12" i="8"/>
  <c r="F14" i="8"/>
  <c r="F15" i="8"/>
  <c r="H17" i="8"/>
  <c r="F18" i="8"/>
  <c r="C23" i="8"/>
  <c r="F23" i="8" s="1"/>
  <c r="I33" i="9"/>
  <c r="C33" i="9"/>
  <c r="F33" i="9" s="1"/>
  <c r="E10" i="1"/>
  <c r="B39" i="12" l="1"/>
  <c r="F38" i="9"/>
  <c r="H38" i="9" s="1"/>
  <c r="F12" i="10"/>
  <c r="H12" i="10" s="1"/>
  <c r="B37" i="12"/>
  <c r="B45" i="12"/>
  <c r="F32" i="9"/>
  <c r="H32" i="9" s="1"/>
  <c r="B49" i="12"/>
  <c r="F31" i="9"/>
  <c r="H31" i="9" s="1"/>
  <c r="B51" i="12"/>
  <c r="C43" i="12"/>
  <c r="B43" i="12"/>
  <c r="B41" i="12"/>
  <c r="C41" i="12"/>
  <c r="J28" i="8"/>
  <c r="K28" i="8" s="1"/>
  <c r="H28" i="8"/>
  <c r="J26" i="8"/>
  <c r="K26" i="8" s="1"/>
  <c r="H26" i="8"/>
  <c r="J13" i="8"/>
  <c r="J17" i="8"/>
  <c r="K17" i="8" s="1"/>
  <c r="J20" i="8"/>
  <c r="K20" i="8" s="1"/>
  <c r="J14" i="8"/>
  <c r="K14" i="8" s="1"/>
  <c r="F14" i="10"/>
  <c r="H14" i="10" s="1"/>
  <c r="B29" i="12"/>
  <c r="B34" i="12"/>
  <c r="B6" i="12"/>
  <c r="B22" i="12"/>
  <c r="B18" i="12"/>
  <c r="F34" i="10"/>
  <c r="H34" i="10" s="1"/>
  <c r="F13" i="10"/>
  <c r="H13" i="10" s="1"/>
  <c r="F18" i="10"/>
  <c r="H18" i="10" s="1"/>
  <c r="F32" i="10"/>
  <c r="H32" i="10" s="1"/>
  <c r="B23" i="12"/>
  <c r="J21" i="10"/>
  <c r="H21" i="10"/>
  <c r="F33" i="10"/>
  <c r="H33" i="10" s="1"/>
  <c r="J26" i="10"/>
  <c r="K26" i="10" s="1"/>
  <c r="H26" i="10"/>
  <c r="F28" i="10"/>
  <c r="J15" i="8"/>
  <c r="K15" i="8" s="1"/>
  <c r="J12" i="8"/>
  <c r="K12" i="8" s="1"/>
  <c r="J18" i="8"/>
  <c r="B25" i="12"/>
  <c r="H22" i="10"/>
  <c r="H29" i="10"/>
  <c r="B27" i="12"/>
  <c r="J27" i="10"/>
  <c r="K27" i="10" s="1"/>
  <c r="H27" i="10"/>
  <c r="H24" i="10"/>
  <c r="J24" i="10"/>
  <c r="K24" i="10" s="1"/>
  <c r="C11" i="12"/>
  <c r="H8" i="12"/>
  <c r="C12" i="12"/>
  <c r="C9" i="12"/>
  <c r="J40" i="9"/>
  <c r="K40" i="9" s="1"/>
  <c r="J35" i="9"/>
  <c r="J36" i="9" s="1"/>
  <c r="K36" i="9" s="1"/>
  <c r="J30" i="9"/>
  <c r="I8" i="10"/>
  <c r="E2" i="11"/>
  <c r="J21" i="8"/>
  <c r="K21" i="8" s="1"/>
  <c r="J23" i="8"/>
  <c r="K23" i="8" s="1"/>
  <c r="H22" i="8"/>
  <c r="H21" i="8"/>
  <c r="J38" i="9"/>
  <c r="K38" i="9" s="1"/>
  <c r="J41" i="9"/>
  <c r="K41" i="9" s="1"/>
  <c r="F6" i="9"/>
  <c r="J17" i="9" s="1"/>
  <c r="J18" i="9" s="1"/>
  <c r="F8" i="7"/>
  <c r="F23" i="9" s="1"/>
  <c r="F9" i="7"/>
  <c r="F26" i="9" s="1"/>
  <c r="F10" i="7"/>
  <c r="F28" i="9" s="1"/>
  <c r="J11" i="9"/>
  <c r="H11" i="9"/>
  <c r="F12" i="9"/>
  <c r="F13" i="9"/>
  <c r="F14" i="9"/>
  <c r="F15" i="9"/>
  <c r="H20" i="9"/>
  <c r="H21" i="9"/>
  <c r="H19" i="9"/>
  <c r="H18" i="9"/>
  <c r="K13" i="8"/>
  <c r="H13" i="8"/>
  <c r="H15" i="8"/>
  <c r="H12" i="8"/>
  <c r="H14" i="8"/>
  <c r="K18" i="8"/>
  <c r="H18" i="8"/>
  <c r="H23" i="8"/>
  <c r="H33" i="9"/>
  <c r="E9" i="3"/>
  <c r="E5" i="3"/>
  <c r="E3" i="3"/>
  <c r="C3" i="3" s="1"/>
  <c r="J29" i="10" l="1"/>
  <c r="K29" i="10" s="1"/>
  <c r="B31" i="12"/>
  <c r="C7" i="12"/>
  <c r="C35" i="12" s="1"/>
  <c r="J22" i="8"/>
  <c r="K22" i="8" s="1"/>
  <c r="J31" i="9"/>
  <c r="K31" i="9" s="1"/>
  <c r="C5" i="12"/>
  <c r="C23" i="12" s="1"/>
  <c r="K35" i="9"/>
  <c r="J37" i="9"/>
  <c r="K37" i="9" s="1"/>
  <c r="J32" i="9"/>
  <c r="K32" i="9" s="1"/>
  <c r="K30" i="9"/>
  <c r="J33" i="9"/>
  <c r="K33" i="9" s="1"/>
  <c r="K21" i="10"/>
  <c r="J23" i="10"/>
  <c r="K23" i="10" s="1"/>
  <c r="J28" i="10"/>
  <c r="K28" i="10" s="1"/>
  <c r="H28" i="10"/>
  <c r="B21" i="12"/>
  <c r="C6" i="12"/>
  <c r="B26" i="12"/>
  <c r="J22" i="10"/>
  <c r="K22" i="10" s="1"/>
  <c r="B35" i="12"/>
  <c r="C8" i="12"/>
  <c r="B30" i="12"/>
  <c r="B33" i="12"/>
  <c r="K8" i="10"/>
  <c r="J31" i="10" s="1"/>
  <c r="H7" i="12"/>
  <c r="C4" i="12" s="1"/>
  <c r="J42" i="9"/>
  <c r="K42" i="9" s="1"/>
  <c r="J16" i="10"/>
  <c r="J11" i="10"/>
  <c r="C46" i="12"/>
  <c r="C47" i="12"/>
  <c r="C45" i="12"/>
  <c r="J43" i="9"/>
  <c r="K43" i="9" s="1"/>
  <c r="C38" i="12"/>
  <c r="C37" i="12"/>
  <c r="C39" i="12"/>
  <c r="C50" i="12"/>
  <c r="C49" i="12"/>
  <c r="C51"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4" i="12" l="1"/>
  <c r="C33" i="12"/>
  <c r="C21" i="12"/>
  <c r="C22" i="12"/>
  <c r="C26" i="12"/>
  <c r="C25" i="12"/>
  <c r="C27" i="12"/>
  <c r="C30" i="12"/>
  <c r="C31" i="12"/>
  <c r="C29" i="12"/>
  <c r="K31" i="10"/>
  <c r="J32" i="10"/>
  <c r="K32" i="10" s="1"/>
  <c r="J33" i="10"/>
  <c r="K33" i="10" s="1"/>
  <c r="J34" i="10"/>
  <c r="K34" i="10" s="1"/>
  <c r="K11" i="10"/>
  <c r="J13" i="10"/>
  <c r="K13" i="10" s="1"/>
  <c r="J12" i="10"/>
  <c r="K12" i="10" s="1"/>
  <c r="J14" i="10"/>
  <c r="K14" i="10" s="1"/>
  <c r="C19" i="12"/>
  <c r="C18" i="12"/>
  <c r="C17" i="12"/>
  <c r="J17" i="10"/>
  <c r="K17" i="10" s="1"/>
  <c r="J19" i="10"/>
  <c r="K19" i="10" s="1"/>
  <c r="J18" i="10"/>
  <c r="K18" i="10" s="1"/>
  <c r="K16" i="10"/>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<sst xmlns="http://schemas.openxmlformats.org/spreadsheetml/2006/main" count="312" uniqueCount="196">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</sst>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U/JRC-IDEES-2015_Residential_L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U/JRC-IDEES-2015_Transport_LU.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9199.1467100195823</v>
          </cell>
        </row>
        <row r="162">
          <cell r="Q162">
            <v>1016.4067184476194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985.71088925398044</v>
          </cell>
        </row>
        <row r="56">
          <cell r="Q56">
            <v>2856.8794900628504</v>
          </cell>
        </row>
      </sheetData>
      <sheetData sheetId="3">
        <row r="150">
          <cell r="Q150">
            <v>18.34496839594204</v>
          </cell>
        </row>
      </sheetData>
      <sheetData sheetId="4">
        <row r="62">
          <cell r="Q62">
            <v>4.2181785200856075</v>
          </cell>
        </row>
        <row r="64">
          <cell r="Q64">
            <v>15.601135579273656</v>
          </cell>
        </row>
        <row r="65">
          <cell r="Q65">
            <v>12.972484549960075</v>
          </cell>
        </row>
        <row r="68">
          <cell r="Q68">
            <v>9.9948706825004585</v>
          </cell>
        </row>
        <row r="69">
          <cell r="Q69">
            <v>3.0018070805003538</v>
          </cell>
        </row>
        <row r="70">
          <cell r="Q70">
            <v>50.960568824020257</v>
          </cell>
        </row>
      </sheetData>
      <sheetData sheetId="5">
        <row r="48">
          <cell r="Q48">
            <v>2.833321497323519</v>
          </cell>
        </row>
        <row r="49">
          <cell r="Q49">
            <v>2.9597117619223683</v>
          </cell>
        </row>
      </sheetData>
      <sheetData sheetId="6" refreshError="1"/>
      <sheetData sheetId="7">
        <row r="62">
          <cell r="Q62">
            <v>0</v>
          </cell>
        </row>
        <row r="63">
          <cell r="Q63">
            <v>49.649602090509561</v>
          </cell>
        </row>
        <row r="66">
          <cell r="Q66">
            <v>0</v>
          </cell>
        </row>
      </sheetData>
      <sheetData sheetId="8">
        <row r="33">
          <cell r="Q33">
            <v>235.39540004082355</v>
          </cell>
        </row>
        <row r="34">
          <cell r="Q34">
            <v>150.27486133475</v>
          </cell>
        </row>
      </sheetData>
      <sheetData sheetId="9" refreshError="1"/>
      <sheetData sheetId="10">
        <row r="69">
          <cell r="Q69">
            <v>102.28942292856041</v>
          </cell>
        </row>
      </sheetData>
      <sheetData sheetId="11">
        <row r="37">
          <cell r="Q37">
            <v>5872.140360920841</v>
          </cell>
        </row>
      </sheetData>
      <sheetData sheetId="12">
        <row r="41">
          <cell r="Q41">
            <v>17676.958152171326</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1016.4067184476194</v>
      </c>
      <c r="C3" s="6">
        <v>0.14099999999999999</v>
      </c>
      <c r="D3" s="2">
        <f>B3*$C3</f>
        <v>143.31334730111431</v>
      </c>
      <c r="E3" s="31">
        <v>4.46</v>
      </c>
    </row>
    <row r="4" spans="1:5" x14ac:dyDescent="0.3">
      <c r="A4" s="1" t="s">
        <v>5</v>
      </c>
      <c r="B4" s="6">
        <f>[1]RES_summary!$Q$157</f>
        <v>9199.1467100195823</v>
      </c>
      <c r="C4" s="6">
        <v>0.20200000000000001</v>
      </c>
      <c r="D4" s="29">
        <f>B4*$C4</f>
        <v>1858.2276354239557</v>
      </c>
      <c r="E4" s="31">
        <v>22.74</v>
      </c>
    </row>
    <row r="5" spans="1:5" x14ac:dyDescent="0.3">
      <c r="A5" s="1" t="s">
        <v>6</v>
      </c>
      <c r="B5" s="2">
        <f>B3+B4</f>
        <v>10215.553428467201</v>
      </c>
      <c r="C5" s="3" t="s">
        <v>7</v>
      </c>
      <c r="D5" s="29">
        <f>D3+D4</f>
        <v>2001.5409827250701</v>
      </c>
      <c r="E5" s="31">
        <f>E3+E4</f>
        <v>27.2</v>
      </c>
    </row>
    <row r="7" spans="1:5" x14ac:dyDescent="0.3">
      <c r="A7" t="s">
        <v>20</v>
      </c>
      <c r="B7" s="5">
        <v>562958</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985.71088925398044</v>
      </c>
      <c r="C10" s="2">
        <f>B10*11630*1000/B7</f>
        <v>20363.53980585371</v>
      </c>
      <c r="D10" s="6">
        <f>[2]Transport!$Q$56</f>
        <v>2856.8794900628504</v>
      </c>
      <c r="E10" s="2">
        <f>D10*1000000/B7</f>
        <v>5074.7648848810222</v>
      </c>
    </row>
    <row r="11" spans="1:5" x14ac:dyDescent="0.3">
      <c r="A11" s="39" t="s">
        <v>142</v>
      </c>
      <c r="B11" s="40">
        <f>B10*11630</f>
        <v>11463817.642023792</v>
      </c>
      <c r="C11" s="40" t="s">
        <v>143</v>
      </c>
      <c r="D11" s="40">
        <f>D10*1000</f>
        <v>2856879.4900628505</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762.30503883571453</v>
      </c>
      <c r="C2" s="35">
        <f>E2*0.9</f>
        <v>914.7660466028575</v>
      </c>
      <c r="D2" s="35">
        <f>0.95*E2</f>
        <v>965.58638252523838</v>
      </c>
      <c r="E2" s="35">
        <f>'Cons and emi per capita'!B3</f>
        <v>1016.4067184476194</v>
      </c>
      <c r="F2" s="35">
        <f>1.05*E2</f>
        <v>1067.2270543700004</v>
      </c>
      <c r="G2" s="35">
        <f>1.25*E2</f>
        <v>1270.5083980595241</v>
      </c>
      <c r="H2" s="12" t="s">
        <v>28</v>
      </c>
    </row>
    <row r="3" spans="1:8" x14ac:dyDescent="0.3">
      <c r="A3" s="1" t="s">
        <v>5</v>
      </c>
      <c r="B3" s="35">
        <f t="shared" ref="B3:B4" si="0">0.75*E3</f>
        <v>6899.3600325146872</v>
      </c>
      <c r="C3" s="35">
        <f t="shared" ref="C3:C4" si="1">E3*0.9</f>
        <v>8279.2320390176246</v>
      </c>
      <c r="D3" s="35">
        <f t="shared" ref="D3:D9" si="2">0.95*E3</f>
        <v>8739.1893745186026</v>
      </c>
      <c r="E3" s="17">
        <f>'Cons and emi per capita'!B4</f>
        <v>9199.1467100195823</v>
      </c>
      <c r="F3" s="35">
        <f t="shared" ref="F3:F9" si="3">1.05*E3</f>
        <v>9659.1040455205621</v>
      </c>
      <c r="G3" s="35">
        <f t="shared" ref="G3:G4" si="4">1.25*E3</f>
        <v>11498.933387524477</v>
      </c>
      <c r="H3" s="1" t="s">
        <v>28</v>
      </c>
    </row>
    <row r="4" spans="1:8" x14ac:dyDescent="0.3">
      <c r="A4" s="1" t="s">
        <v>18</v>
      </c>
      <c r="B4" s="35">
        <f t="shared" si="0"/>
        <v>7661.6650713504005</v>
      </c>
      <c r="C4" s="35">
        <f t="shared" si="1"/>
        <v>9193.998085620482</v>
      </c>
      <c r="D4" s="35">
        <f t="shared" si="2"/>
        <v>9704.7757570438407</v>
      </c>
      <c r="E4" s="17">
        <f>E2+E3</f>
        <v>10215.553428467201</v>
      </c>
      <c r="F4" s="35">
        <f t="shared" si="3"/>
        <v>10726.331099890562</v>
      </c>
      <c r="G4" s="35">
        <f t="shared" si="4"/>
        <v>12769.441785584002</v>
      </c>
      <c r="H4" s="1" t="s">
        <v>28</v>
      </c>
    </row>
    <row r="5" spans="1:8" x14ac:dyDescent="0.3">
      <c r="A5" s="1" t="s">
        <v>33</v>
      </c>
      <c r="B5" s="17">
        <f>0.84*E5</f>
        <v>17105.373436917114</v>
      </c>
      <c r="C5" s="35">
        <f>E5*0.91</f>
        <v>18530.821223326879</v>
      </c>
      <c r="D5" s="35">
        <f t="shared" si="2"/>
        <v>19345.362815561024</v>
      </c>
      <c r="E5" s="17">
        <f>'Cons and emi per capita'!C10</f>
        <v>20363.53980585371</v>
      </c>
      <c r="F5" s="35">
        <f t="shared" si="3"/>
        <v>21381.716796146397</v>
      </c>
      <c r="G5" s="17">
        <f>1.16*E5</f>
        <v>23621.706174790303</v>
      </c>
      <c r="H5" s="1" t="s">
        <v>28</v>
      </c>
    </row>
    <row r="6" spans="1:8" x14ac:dyDescent="0.3">
      <c r="A6" s="1" t="s">
        <v>29</v>
      </c>
      <c r="B6" s="17">
        <f>0.75*E6</f>
        <v>107.48501047583574</v>
      </c>
      <c r="C6" s="35">
        <f>E6*0.9</f>
        <v>128.98201257100288</v>
      </c>
      <c r="D6" s="35">
        <f t="shared" si="2"/>
        <v>136.14767993605858</v>
      </c>
      <c r="E6" s="17">
        <f>'Cons and emi per capita'!D3</f>
        <v>143.31334730111431</v>
      </c>
      <c r="F6" s="35">
        <f t="shared" si="3"/>
        <v>150.47901466617003</v>
      </c>
      <c r="G6" s="17">
        <f>1.25*E6</f>
        <v>179.14168412639287</v>
      </c>
      <c r="H6" s="1" t="s">
        <v>30</v>
      </c>
    </row>
    <row r="7" spans="1:8" x14ac:dyDescent="0.3">
      <c r="A7" s="1" t="s">
        <v>31</v>
      </c>
      <c r="B7" s="17">
        <f>0.75*E7</f>
        <v>1393.6707265679668</v>
      </c>
      <c r="C7" s="35">
        <f t="shared" ref="C7:C8" si="5">E7*0.9</f>
        <v>1672.4048718815602</v>
      </c>
      <c r="D7" s="35">
        <f t="shared" si="2"/>
        <v>1765.3162536527577</v>
      </c>
      <c r="E7" s="17">
        <f>'Cons and emi per capita'!D4</f>
        <v>1858.2276354239557</v>
      </c>
      <c r="F7" s="35">
        <f t="shared" si="3"/>
        <v>1951.1390171951537</v>
      </c>
      <c r="G7" s="17">
        <f t="shared" ref="G7:G8" si="6">1.25*E7</f>
        <v>2322.7845442799444</v>
      </c>
      <c r="H7" s="1" t="s">
        <v>30</v>
      </c>
    </row>
    <row r="8" spans="1:8" x14ac:dyDescent="0.3">
      <c r="A8" s="1" t="s">
        <v>32</v>
      </c>
      <c r="B8" s="17">
        <f t="shared" ref="B8" si="7">0.75*E8</f>
        <v>1501.1557370438027</v>
      </c>
      <c r="C8" s="35">
        <f t="shared" si="5"/>
        <v>1801.3868844525632</v>
      </c>
      <c r="D8" s="35">
        <f t="shared" si="2"/>
        <v>1901.4639335888164</v>
      </c>
      <c r="E8" s="17">
        <f>E6+E7</f>
        <v>2001.5409827250701</v>
      </c>
      <c r="F8" s="35">
        <f t="shared" si="3"/>
        <v>2101.6180318613237</v>
      </c>
      <c r="G8" s="17">
        <f t="shared" si="6"/>
        <v>2501.9262284063375</v>
      </c>
      <c r="H8" s="1" t="s">
        <v>30</v>
      </c>
    </row>
    <row r="9" spans="1:8" x14ac:dyDescent="0.3">
      <c r="A9" s="1" t="s">
        <v>34</v>
      </c>
      <c r="B9" s="17">
        <f>0.84*E9</f>
        <v>4262.8025033000586</v>
      </c>
      <c r="C9" s="35">
        <f>E9*0.91</f>
        <v>4618.0360452417308</v>
      </c>
      <c r="D9" s="35">
        <f t="shared" si="2"/>
        <v>4821.026640636971</v>
      </c>
      <c r="E9" s="17">
        <f>'Cons and emi per capita'!E10</f>
        <v>5074.7648848810222</v>
      </c>
      <c r="F9" s="35">
        <f t="shared" si="3"/>
        <v>5328.5031291250734</v>
      </c>
      <c r="G9" s="17">
        <f>1.16*E9</f>
        <v>5886.727266461985</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24767.038508267513</v>
      </c>
      <c r="C13" s="37">
        <f t="shared" ref="C13:G13" si="8">SUM(C4:C5)</f>
        <v>27724.819308947361</v>
      </c>
      <c r="D13" s="37">
        <f t="shared" si="8"/>
        <v>29050.138572604865</v>
      </c>
      <c r="E13" s="37">
        <f t="shared" si="8"/>
        <v>30579.093234320913</v>
      </c>
      <c r="F13" s="37">
        <f t="shared" si="8"/>
        <v>32108.047896036958</v>
      </c>
      <c r="G13" s="37">
        <f t="shared" si="8"/>
        <v>36391.147960374306</v>
      </c>
    </row>
    <row r="14" spans="1:8" x14ac:dyDescent="0.3">
      <c r="B14" s="37">
        <f>SUM(B8:B9)</f>
        <v>5763.9582403438617</v>
      </c>
      <c r="C14" s="37">
        <f t="shared" ref="C14:G14" si="9">SUM(C8:C9)</f>
        <v>6419.422929694294</v>
      </c>
      <c r="D14" s="37">
        <f t="shared" si="9"/>
        <v>6722.490574225787</v>
      </c>
      <c r="E14" s="37">
        <f t="shared" si="9"/>
        <v>7076.3058676060919</v>
      </c>
      <c r="F14" s="37">
        <f t="shared" si="9"/>
        <v>7430.1211609863967</v>
      </c>
      <c r="G14" s="37">
        <f t="shared" si="9"/>
        <v>8388.653494868322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7"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5.833699949909569</v>
      </c>
      <c r="I5" s="17">
        <f>B6</f>
        <v>18.34496839594204</v>
      </c>
      <c r="J5" s="17">
        <f>J$4*I5/I$4</f>
        <v>30.856236841974511</v>
      </c>
    </row>
    <row r="6" spans="1:11" x14ac:dyDescent="0.3">
      <c r="A6" s="1" t="s">
        <v>40</v>
      </c>
      <c r="B6" s="6">
        <f>[2]TrRoad_act!$Q$150</f>
        <v>18.34496839594204</v>
      </c>
      <c r="C6" s="1" t="s">
        <v>59</v>
      </c>
      <c r="D6" s="3" t="s">
        <v>7</v>
      </c>
      <c r="E6" s="1"/>
      <c r="G6" s="1" t="s">
        <v>83</v>
      </c>
      <c r="H6" s="17">
        <f t="shared" ref="H6:H8" si="0">H$4*I6/I$4</f>
        <v>0</v>
      </c>
      <c r="I6" s="17">
        <f>B20</f>
        <v>0</v>
      </c>
      <c r="J6" s="17">
        <f t="shared" ref="J6:J8" si="1">J$4*I6/I$4</f>
        <v>0</v>
      </c>
    </row>
    <row r="7" spans="1:11" x14ac:dyDescent="0.3">
      <c r="A7" s="57" t="s">
        <v>61</v>
      </c>
      <c r="B7" s="57"/>
      <c r="C7" s="57"/>
      <c r="D7" s="57"/>
      <c r="E7" s="57"/>
      <c r="G7" s="1" t="s">
        <v>84</v>
      </c>
      <c r="H7" s="17">
        <f t="shared" si="0"/>
        <v>15.788573464782042</v>
      </c>
      <c r="I7" s="17">
        <f>B21</f>
        <v>49.649602090509561</v>
      </c>
      <c r="J7" s="17">
        <f t="shared" si="1"/>
        <v>83.510630716237088</v>
      </c>
    </row>
    <row r="8" spans="1:11" x14ac:dyDescent="0.3">
      <c r="A8" s="1" t="s">
        <v>42</v>
      </c>
      <c r="B8" s="6">
        <f>[2]TrRoad_ene!$Q$62</f>
        <v>4.2181785200856075</v>
      </c>
      <c r="C8" s="74" t="s">
        <v>60</v>
      </c>
      <c r="D8" s="27">
        <f>B8*11.63/100</f>
        <v>0.49057416188595615</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14.286810064616866</v>
      </c>
      <c r="C10" s="74"/>
      <c r="D10" s="27">
        <f t="shared" ref="D10:D13" si="2">B10*11.63/100</f>
        <v>1.6615560105149416</v>
      </c>
      <c r="E10" s="74"/>
    </row>
    <row r="11" spans="1:11" x14ac:dyDescent="0.3">
      <c r="A11" s="1" t="s">
        <v>45</v>
      </c>
      <c r="B11" s="6">
        <f>[2]TrRoad_ene!$Q$68</f>
        <v>9.9948706825004585</v>
      </c>
      <c r="C11" s="74"/>
      <c r="D11" s="27">
        <f t="shared" si="2"/>
        <v>1.1624034603748035</v>
      </c>
      <c r="E11" s="74"/>
    </row>
    <row r="12" spans="1:11" x14ac:dyDescent="0.3">
      <c r="A12" s="1" t="s">
        <v>46</v>
      </c>
      <c r="B12" s="6">
        <f>[2]TrRoad_ene!$Q$69</f>
        <v>3.0018070805003538</v>
      </c>
      <c r="C12" s="74"/>
      <c r="D12" s="27">
        <f t="shared" si="2"/>
        <v>0.34911016346219115</v>
      </c>
      <c r="E12" s="74"/>
    </row>
    <row r="13" spans="1:11" x14ac:dyDescent="0.3">
      <c r="A13" s="1" t="s">
        <v>40</v>
      </c>
      <c r="B13" s="6">
        <f>[2]TrRoad_ene!$Q$70</f>
        <v>50.960568824020257</v>
      </c>
      <c r="C13" s="74"/>
      <c r="D13" s="27">
        <f t="shared" si="2"/>
        <v>5.9267141542335562</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2.8965166296229437</v>
      </c>
      <c r="C16" s="1" t="s">
        <v>62</v>
      </c>
      <c r="D16" s="28">
        <f>B16*1000/11630</f>
        <v>0.24905560013954803</v>
      </c>
      <c r="E16" s="1" t="s">
        <v>47</v>
      </c>
    </row>
    <row r="17" spans="1:5" x14ac:dyDescent="0.3">
      <c r="A17" s="1" t="s">
        <v>65</v>
      </c>
      <c r="B17" s="6">
        <v>6.9000000000000006E-2</v>
      </c>
      <c r="C17" s="1" t="s">
        <v>47</v>
      </c>
      <c r="D17" s="2">
        <f>B17</f>
        <v>6.9000000000000006E-2</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0</v>
      </c>
      <c r="C20" s="68" t="s">
        <v>59</v>
      </c>
      <c r="D20" s="3" t="s">
        <v>7</v>
      </c>
      <c r="E20" s="1"/>
    </row>
    <row r="21" spans="1:5" x14ac:dyDescent="0.3">
      <c r="A21" s="1" t="s">
        <v>51</v>
      </c>
      <c r="B21" s="6">
        <f>[2]TrRail_act!$Q$63</f>
        <v>49.649602090509561</v>
      </c>
      <c r="C21" s="69"/>
      <c r="D21" s="3" t="s">
        <v>7</v>
      </c>
      <c r="E21" s="1"/>
    </row>
    <row r="22" spans="1:5" x14ac:dyDescent="0.3">
      <c r="A22" s="1" t="s">
        <v>52</v>
      </c>
      <c r="B22" s="6">
        <f>[2]TrRail_act!$Q$66</f>
        <v>0</v>
      </c>
      <c r="C22" s="70"/>
      <c r="D22" s="3" t="s">
        <v>7</v>
      </c>
      <c r="E22" s="1"/>
    </row>
    <row r="23" spans="1:5" x14ac:dyDescent="0.3">
      <c r="A23" s="65" t="s">
        <v>53</v>
      </c>
      <c r="B23" s="66"/>
      <c r="C23" s="66"/>
      <c r="D23" s="66"/>
      <c r="E23" s="67"/>
    </row>
    <row r="24" spans="1:5" x14ac:dyDescent="0.3">
      <c r="A24" s="1" t="s">
        <v>50</v>
      </c>
      <c r="B24" s="6"/>
      <c r="C24" s="71" t="s">
        <v>60</v>
      </c>
      <c r="D24" s="2">
        <f>B24*11.63/100</f>
        <v>0</v>
      </c>
      <c r="E24" s="71" t="s">
        <v>41</v>
      </c>
    </row>
    <row r="25" spans="1:5" x14ac:dyDescent="0.3">
      <c r="A25" s="1" t="s">
        <v>144</v>
      </c>
      <c r="B25" s="6">
        <f>[2]TrRail_ene!$Q$33</f>
        <v>235.39540004082355</v>
      </c>
      <c r="C25" s="72"/>
      <c r="D25" s="27">
        <f t="shared" ref="D25:D27" si="3">B25*11.63/100</f>
        <v>27.37648502474778</v>
      </c>
      <c r="E25" s="72"/>
    </row>
    <row r="26" spans="1:5" x14ac:dyDescent="0.3">
      <c r="A26" s="1" t="s">
        <v>51</v>
      </c>
      <c r="B26" s="6">
        <f>[2]TrRail_ene!$Q$34</f>
        <v>150.27486133475</v>
      </c>
      <c r="C26" s="72"/>
      <c r="D26" s="27">
        <f t="shared" si="3"/>
        <v>17.476966373231427</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6.9000000000000006E-2</v>
      </c>
      <c r="C29" s="1" t="s">
        <v>47</v>
      </c>
      <c r="D29" s="2">
        <f>B29</f>
        <v>6.9000000000000006E-2</v>
      </c>
      <c r="E29" s="1" t="s">
        <v>47</v>
      </c>
    </row>
    <row r="30" spans="1:5" x14ac:dyDescent="0.3">
      <c r="A30" s="62" t="s">
        <v>54</v>
      </c>
      <c r="B30" s="63"/>
      <c r="C30" s="63"/>
      <c r="D30" s="63"/>
      <c r="E30" s="64"/>
    </row>
    <row r="31" spans="1:5" x14ac:dyDescent="0.3">
      <c r="A31" s="1" t="s">
        <v>68</v>
      </c>
      <c r="B31" s="6">
        <f>[2]TrAvia_act!$Q$69</f>
        <v>102.28942292856041</v>
      </c>
      <c r="C31" s="1" t="s">
        <v>67</v>
      </c>
      <c r="D31" s="3" t="s">
        <v>7</v>
      </c>
      <c r="E31" s="1"/>
    </row>
    <row r="32" spans="1:5" x14ac:dyDescent="0.3">
      <c r="A32" s="1" t="s">
        <v>72</v>
      </c>
      <c r="B32" s="6">
        <f>[2]TrAvia_ene!$Q$37</f>
        <v>5872.140360920841</v>
      </c>
      <c r="C32" s="1" t="s">
        <v>69</v>
      </c>
      <c r="D32" s="28">
        <f>B32*11.63*10^(-3)/B31</f>
        <v>0.66764471283805793</v>
      </c>
      <c r="E32" s="1" t="s">
        <v>55</v>
      </c>
    </row>
    <row r="33" spans="1:5" x14ac:dyDescent="0.3">
      <c r="A33" s="1" t="s">
        <v>71</v>
      </c>
      <c r="B33" s="6">
        <f>[2]TrAvia_emi!$Q$41</f>
        <v>17676.958152171326</v>
      </c>
      <c r="C33" s="1" t="s">
        <v>70</v>
      </c>
      <c r="D33" s="28">
        <f>B33/B31</f>
        <v>172.81315747100291</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6" zoomScale="70" zoomScaleNormal="70" workbookViewId="0">
      <selection activeCell="B41" sqref="B41:C43"/>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6.9000000000000006E-2</v>
      </c>
    </row>
    <row r="4" spans="1:8" x14ac:dyDescent="0.3">
      <c r="A4" t="s">
        <v>87</v>
      </c>
      <c r="B4">
        <f>'Passenger transport data'!D13</f>
        <v>5.9267141542335562</v>
      </c>
      <c r="C4" t="e">
        <f>Tabla4[[#This Row],[ENERGY CONSUMPTION PER VEHICLE]]*H7</f>
        <v>#VALUE!</v>
      </c>
      <c r="G4" t="s">
        <v>165</v>
      </c>
      <c r="H4">
        <f>BUS!C16</f>
        <v>0.2545141874462597</v>
      </c>
    </row>
    <row r="5" spans="1:8" x14ac:dyDescent="0.3">
      <c r="A5" t="s">
        <v>179</v>
      </c>
      <c r="C5">
        <f>Tabla4[[#This Row],[ENERGY CONSUMPTION PER VEHICLE]]*H3</f>
        <v>0</v>
      </c>
      <c r="G5" t="s">
        <v>180</v>
      </c>
      <c r="H5">
        <f>'Passenger transport data'!D15</f>
        <v>0.26655202063628547</v>
      </c>
    </row>
    <row r="6" spans="1:8" x14ac:dyDescent="0.3">
      <c r="A6" t="s">
        <v>181</v>
      </c>
      <c r="B6">
        <f>B4</f>
        <v>5.9267141542335562</v>
      </c>
      <c r="C6">
        <f>Tabla4[[#This Row],[ENERGY CONSUMPTION PER VEHICLE]]*H4</f>
        <v>1.5084328371909999</v>
      </c>
      <c r="G6" t="s">
        <v>182</v>
      </c>
      <c r="H6">
        <f>BUS!E5</f>
        <v>0.22800000000000001</v>
      </c>
    </row>
    <row r="7" spans="1:8" x14ac:dyDescent="0.3">
      <c r="A7" t="s">
        <v>191</v>
      </c>
      <c r="C7">
        <f>Tabla4[[#This Row],[ENERGY CONSUMPTION PER VEHICLE]]*H8</f>
        <v>0</v>
      </c>
      <c r="G7" t="s">
        <v>184</v>
      </c>
      <c r="H7" t="e">
        <f>BUS!E2</f>
        <v>#VALUE!</v>
      </c>
    </row>
    <row r="8" spans="1:8" x14ac:dyDescent="0.3">
      <c r="A8" t="s">
        <v>183</v>
      </c>
      <c r="C8">
        <f>Tabla4[[#This Row],[ENERGY CONSUMPTION PER VEHICLE]]*H6</f>
        <v>0</v>
      </c>
      <c r="G8" t="s">
        <v>192</v>
      </c>
      <c r="H8">
        <f>0.5*H3+0.5*H4</f>
        <v>0.16175709372312985</v>
      </c>
    </row>
    <row r="9" spans="1:8" x14ac:dyDescent="0.3">
      <c r="A9" t="s">
        <v>185</v>
      </c>
      <c r="B9">
        <f>'Passenger transport data'!D26</f>
        <v>17.476966373231427</v>
      </c>
      <c r="C9">
        <f>Tabla4[[#This Row],[ENERGY CONSUMPTION PER VEHICLE]]*H3</f>
        <v>1.2059106797529686</v>
      </c>
    </row>
    <row r="10" spans="1:8" x14ac:dyDescent="0.3">
      <c r="A10" t="s">
        <v>146</v>
      </c>
      <c r="B10">
        <f>'Passenger transport data'!D25</f>
        <v>27.37648502474778</v>
      </c>
      <c r="C10">
        <f>Tabla4[[#This Row],[ENERGY CONSUMPTION PER VEHICLE]]*H5</f>
        <v>7.2972574012655302</v>
      </c>
    </row>
    <row r="11" spans="1:8" x14ac:dyDescent="0.3">
      <c r="A11" t="s">
        <v>103</v>
      </c>
      <c r="B11">
        <f>'Passenger transport data'!D27</f>
        <v>0</v>
      </c>
      <c r="C11">
        <f>Tabla4[[#This Row],[ENERGY CONSUMPTION PER VEHICLE]]*H3</f>
        <v>0</v>
      </c>
    </row>
    <row r="12" spans="1:8" x14ac:dyDescent="0.3">
      <c r="A12" t="s">
        <v>186</v>
      </c>
      <c r="B12">
        <f>'Passenger transport data'!D24</f>
        <v>0</v>
      </c>
      <c r="C12">
        <f>Tabla4[[#This Row],[ENERGY CONSUMPTION PER VEHICLE]]*H3</f>
        <v>0</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5.833699949909569</v>
      </c>
      <c r="B17">
        <f>B4/Tabla5[[#This Row],[LEVEL OF OCCUPANCY]]</f>
        <v>1.0159442900942186</v>
      </c>
      <c r="C17" t="e">
        <f>C4/Tabla5[[#This Row],[LEVEL OF OCCUPANCY]]</f>
        <v>#VALUE!</v>
      </c>
    </row>
    <row r="18" spans="1:3" x14ac:dyDescent="0.3">
      <c r="A18" s="37">
        <f>'Passenger transport data'!I5</f>
        <v>18.34496839594204</v>
      </c>
      <c r="B18">
        <f>B4/Tabla5[[#This Row],[LEVEL OF OCCUPANCY]]</f>
        <v>0.32307028424996154</v>
      </c>
      <c r="C18" t="e">
        <f>C4/Tabla5[[#This Row],[LEVEL OF OCCUPANCY]]</f>
        <v>#VALUE!</v>
      </c>
    </row>
    <row r="19" spans="1:3" x14ac:dyDescent="0.3">
      <c r="A19" s="37">
        <f>'Passenger transport data'!J5</f>
        <v>30.856236841974511</v>
      </c>
      <c r="B19">
        <f>B4/Tabla5[[#This Row],[LEVEL OF OCCUPANCY]]</f>
        <v>0.19207507981567276</v>
      </c>
      <c r="C19" t="e">
        <f>C4/Tabla5[[#This Row],[LEVEL OF OCCUPANCY]]</f>
        <v>#VALUE!</v>
      </c>
    </row>
    <row r="20" spans="1:3" x14ac:dyDescent="0.3">
      <c r="A20" t="s">
        <v>179</v>
      </c>
    </row>
    <row r="21" spans="1:3" x14ac:dyDescent="0.3">
      <c r="A21" s="37">
        <f>A17</f>
        <v>5.833699949909569</v>
      </c>
      <c r="B21">
        <f>B5/Tabla5[[#This Row],[LEVEL OF OCCUPANCY]]</f>
        <v>0</v>
      </c>
      <c r="C21">
        <f>C5/Tabla5[[#This Row],[LEVEL OF OCCUPANCY]]</f>
        <v>0</v>
      </c>
    </row>
    <row r="22" spans="1:3" x14ac:dyDescent="0.3">
      <c r="A22" s="37">
        <f>A18</f>
        <v>18.34496839594204</v>
      </c>
      <c r="B22">
        <f>B5/Tabla5[[#This Row],[LEVEL OF OCCUPANCY]]</f>
        <v>0</v>
      </c>
      <c r="C22">
        <f>C5/Tabla5[[#This Row],[LEVEL OF OCCUPANCY]]</f>
        <v>0</v>
      </c>
    </row>
    <row r="23" spans="1:3" x14ac:dyDescent="0.3">
      <c r="A23" s="37">
        <f>A19</f>
        <v>30.856236841974511</v>
      </c>
      <c r="B23">
        <f>B5/Tabla5[[#This Row],[LEVEL OF OCCUPANCY]]</f>
        <v>0</v>
      </c>
      <c r="C23">
        <f>C5/Tabla5[[#This Row],[LEVEL OF OCCUPANCY]]</f>
        <v>0</v>
      </c>
    </row>
    <row r="24" spans="1:3" x14ac:dyDescent="0.3">
      <c r="A24" t="s">
        <v>181</v>
      </c>
    </row>
    <row r="25" spans="1:3" x14ac:dyDescent="0.3">
      <c r="A25" s="37">
        <f>A17</f>
        <v>5.833699949909569</v>
      </c>
      <c r="B25">
        <f>B6/Tabla5[[#This Row],[LEVEL OF OCCUPANCY]]</f>
        <v>1.0159442900942186</v>
      </c>
      <c r="C25">
        <f>C6/Tabla5[[#This Row],[LEVEL OF OCCUPANCY]]</f>
        <v>0.25857223548399721</v>
      </c>
    </row>
    <row r="26" spans="1:3" x14ac:dyDescent="0.3">
      <c r="A26" s="37">
        <f>A18</f>
        <v>18.34496839594204</v>
      </c>
      <c r="B26">
        <f>B6/Tabla5[[#This Row],[LEVEL OF OCCUPANCY]]</f>
        <v>0.32307028424996154</v>
      </c>
      <c r="C26">
        <f>C6/Tabla5[[#This Row],[LEVEL OF OCCUPANCY]]</f>
        <v>8.222597088391112E-2</v>
      </c>
    </row>
    <row r="27" spans="1:3" x14ac:dyDescent="0.3">
      <c r="A27" s="37">
        <f>A19</f>
        <v>30.856236841974511</v>
      </c>
      <c r="B27">
        <f>B6/Tabla5[[#This Row],[LEVEL OF OCCUPANCY]]</f>
        <v>0.19207507981567276</v>
      </c>
      <c r="C27">
        <f>C6/Tabla5[[#This Row],[LEVEL OF OCCUPANCY]]</f>
        <v>4.8885832867961429E-2</v>
      </c>
    </row>
    <row r="28" spans="1:3" x14ac:dyDescent="0.3">
      <c r="A28" s="37" t="s">
        <v>183</v>
      </c>
    </row>
    <row r="29" spans="1:3" x14ac:dyDescent="0.3">
      <c r="A29" s="37">
        <f>A17</f>
        <v>5.833699949909569</v>
      </c>
      <c r="B29">
        <f>B8/Tabla5[[#This Row],[LEVEL OF OCCUPANCY]]</f>
        <v>0</v>
      </c>
      <c r="C29">
        <f>C8/Tabla5[[#This Row],[LEVEL OF OCCUPANCY]]</f>
        <v>0</v>
      </c>
    </row>
    <row r="30" spans="1:3" x14ac:dyDescent="0.3">
      <c r="A30" s="37">
        <f>A18</f>
        <v>18.34496839594204</v>
      </c>
      <c r="B30">
        <f>B8/Tabla5[[#This Row],[LEVEL OF OCCUPANCY]]</f>
        <v>0</v>
      </c>
      <c r="C30">
        <f>C8/Tabla5[[#This Row],[LEVEL OF OCCUPANCY]]</f>
        <v>0</v>
      </c>
    </row>
    <row r="31" spans="1:3" x14ac:dyDescent="0.3">
      <c r="A31" s="37">
        <f>A19</f>
        <v>30.856236841974511</v>
      </c>
      <c r="B31">
        <f>B8/Tabla5[[#This Row],[LEVEL OF OCCUPANCY]]</f>
        <v>0</v>
      </c>
      <c r="C31">
        <f>C8/Tabla5[[#This Row],[LEVEL OF OCCUPANCY]]</f>
        <v>0</v>
      </c>
    </row>
    <row r="32" spans="1:3" x14ac:dyDescent="0.3">
      <c r="A32" s="37" t="s">
        <v>191</v>
      </c>
    </row>
    <row r="33" spans="1:3" x14ac:dyDescent="0.3">
      <c r="A33" s="37">
        <f>A17</f>
        <v>5.833699949909569</v>
      </c>
      <c r="B33">
        <f>B7/Tabla5[[#This Row],[LEVEL OF OCCUPANCY]]</f>
        <v>0</v>
      </c>
      <c r="C33">
        <f>C7/Tabla5[[#This Row],[LEVEL OF OCCUPANCY]]</f>
        <v>0</v>
      </c>
    </row>
    <row r="34" spans="1:3" x14ac:dyDescent="0.3">
      <c r="A34" s="37">
        <f>A18</f>
        <v>18.34496839594204</v>
      </c>
      <c r="B34">
        <f>B7/Tabla5[[#This Row],[LEVEL OF OCCUPANCY]]</f>
        <v>0</v>
      </c>
      <c r="C34">
        <f>C7/Tabla5[[#This Row],[LEVEL OF OCCUPANCY]]</f>
        <v>0</v>
      </c>
    </row>
    <row r="35" spans="1:3" x14ac:dyDescent="0.3">
      <c r="A35" s="37">
        <f>A19</f>
        <v>30.856236841974511</v>
      </c>
      <c r="B35">
        <f>B7/Tabla5[[#This Row],[LEVEL OF OCCUPANCY]]</f>
        <v>0</v>
      </c>
      <c r="C35">
        <f>C7/Tabla5[[#This Row],[LEVEL OF OCCUPANCY]]</f>
        <v>0</v>
      </c>
    </row>
    <row r="36" spans="1:3" x14ac:dyDescent="0.3">
      <c r="A36" t="s">
        <v>185</v>
      </c>
    </row>
    <row r="37" spans="1:3" x14ac:dyDescent="0.3">
      <c r="A37" s="37">
        <f>'Passenger transport data'!H7</f>
        <v>15.788573464782042</v>
      </c>
      <c r="B37">
        <f>B9/Tabla5[[#This Row],[LEVEL OF OCCUPANCY]]</f>
        <v>1.1069376478005128</v>
      </c>
      <c r="C37">
        <f>C9/Tabla5[[#This Row],[LEVEL OF OCCUPANCY]]</f>
        <v>7.6378697698235395E-2</v>
      </c>
    </row>
    <row r="38" spans="1:3" x14ac:dyDescent="0.3">
      <c r="A38" s="37">
        <f>'Passenger transport data'!I7</f>
        <v>49.649602090509561</v>
      </c>
      <c r="B38">
        <f>B9/Tabla5[[#This Row],[LEVEL OF OCCUPANCY]]</f>
        <v>0.35200617200056311</v>
      </c>
      <c r="C38">
        <f>C9/Tabla5[[#This Row],[LEVEL OF OCCUPANCY]]</f>
        <v>2.4288425868038858E-2</v>
      </c>
    </row>
    <row r="39" spans="1:3" x14ac:dyDescent="0.3">
      <c r="A39" s="37">
        <f>'Passenger transport data'!J7</f>
        <v>83.510630716237088</v>
      </c>
      <c r="B39">
        <f>B9/Tabla5[[#This Row],[LEVEL OF OCCUPANCY]]</f>
        <v>0.2092783424497997</v>
      </c>
      <c r="C39">
        <f>C9/Tabla5[[#This Row],[LEVEL OF OCCUPANCY]]</f>
        <v>1.4440205629036182E-2</v>
      </c>
    </row>
    <row r="40" spans="1:3" x14ac:dyDescent="0.3">
      <c r="A40" t="s">
        <v>146</v>
      </c>
    </row>
    <row r="41" spans="1:3" x14ac:dyDescent="0.3">
      <c r="A41" s="37">
        <f>A37</f>
        <v>15.788573464782042</v>
      </c>
      <c r="B41">
        <f>B10/Tabla5[[#This Row],[LEVEL OF OCCUPANCY]]</f>
        <v>1.7339429104100956</v>
      </c>
      <c r="C41">
        <f>C10/Tabla5[[#This Row],[LEVEL OF OCCUPANCY]]</f>
        <v>0.4621859864377727</v>
      </c>
    </row>
    <row r="42" spans="1:3" x14ac:dyDescent="0.3">
      <c r="A42" s="37">
        <f>A38</f>
        <v>49.649602090509561</v>
      </c>
      <c r="B42">
        <f>B10/Tabla5[[#This Row],[LEVEL OF OCCUPANCY]]</f>
        <v>0.55139384551041049</v>
      </c>
      <c r="C42">
        <f>C10/Tabla5[[#This Row],[LEVEL OF OCCUPANCY]]</f>
        <v>0.14697514368721173</v>
      </c>
    </row>
    <row r="43" spans="1:3" x14ac:dyDescent="0.3">
      <c r="A43" s="37">
        <f>A39</f>
        <v>83.510630716237088</v>
      </c>
      <c r="B43">
        <f>B10/Tabla5[[#This Row],[LEVEL OF OCCUPANCY]]</f>
        <v>0.3278203599942987</v>
      </c>
      <c r="C43">
        <f>C10/Tabla5[[#This Row],[LEVEL OF OCCUPANCY]]</f>
        <v>8.7381179362194833E-2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0</v>
      </c>
      <c r="B49" t="e">
        <f>B12/Tabla5[[#This Row],[LEVEL OF OCCUPANCY]]</f>
        <v>#DIV/0!</v>
      </c>
      <c r="C49" t="e">
        <f>C12/Tabla5[[#This Row],[LEVEL OF OCCUPANCY]]</f>
        <v>#DIV/0!</v>
      </c>
    </row>
    <row r="50" spans="1:3" x14ac:dyDescent="0.3">
      <c r="A50" s="37">
        <f>'Passenger transport data'!I6</f>
        <v>0</v>
      </c>
      <c r="B50" t="e">
        <f>B12/Tabla5[[#This Row],[LEVEL OF OCCUPANCY]]</f>
        <v>#DIV/0!</v>
      </c>
      <c r="C50" t="e">
        <f>C12/Tabla5[[#This Row],[LEVEL OF OCCUPANCY]]</f>
        <v>#DIV/0!</v>
      </c>
    </row>
    <row r="51" spans="1:3" x14ac:dyDescent="0.3">
      <c r="A51" s="37">
        <f>'Passenger transport data'!J6</f>
        <v>0</v>
      </c>
      <c r="B51" t="e">
        <f>B12/Tabla5[[#This Row],[LEVEL OF OCCUPANCY]]</f>
        <v>#DIV/0!</v>
      </c>
      <c r="C51" t="e">
        <f>C12/Tabla5[[#This Row],[LEVEL OF OCCUPANCY]]</f>
        <v>#DIV/0!</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22" sqref="C22"/>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t="s">
        <v>195</v>
      </c>
      <c r="E2" t="e">
        <f>(Tabla1[[#This Row],[% fuel used for buses]]*C10+C3*((C11+C10)/2)+C4*((C12+C13+C14)/3)+C5*C15+C6*C16)/100</f>
        <v>#VALUE!</v>
      </c>
      <c r="F2" t="s">
        <v>47</v>
      </c>
    </row>
    <row r="3" spans="2:6" x14ac:dyDescent="0.3">
      <c r="B3" t="s">
        <v>161</v>
      </c>
      <c r="C3" t="s">
        <v>195</v>
      </c>
    </row>
    <row r="4" spans="2:6" x14ac:dyDescent="0.3">
      <c r="B4" t="s">
        <v>162</v>
      </c>
      <c r="C4" t="s">
        <v>195</v>
      </c>
      <c r="E4" t="s">
        <v>163</v>
      </c>
    </row>
    <row r="5" spans="2:6" x14ac:dyDescent="0.3">
      <c r="B5" t="s">
        <v>164</v>
      </c>
      <c r="C5" t="s">
        <v>195</v>
      </c>
      <c r="E5">
        <f>(C12+C13+C14)/3</f>
        <v>0.22800000000000001</v>
      </c>
      <c r="F5" t="s">
        <v>47</v>
      </c>
    </row>
    <row r="6" spans="2:6" x14ac:dyDescent="0.3">
      <c r="B6" t="s">
        <v>165</v>
      </c>
      <c r="C6" t="s">
        <v>195</v>
      </c>
    </row>
    <row r="9" spans="2:6" x14ac:dyDescent="0.3">
      <c r="B9" t="s">
        <v>166</v>
      </c>
      <c r="C9" t="s">
        <v>167</v>
      </c>
    </row>
    <row r="10" spans="2:6" x14ac:dyDescent="0.3">
      <c r="B10" t="s">
        <v>168</v>
      </c>
      <c r="C10">
        <f>'Passenger transport data'!D17</f>
        <v>6.9000000000000006E-2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2.83*1000/11630</f>
        <v>0.24333619948409285</v>
      </c>
    </row>
    <row r="16" spans="2:6" x14ac:dyDescent="0.3">
      <c r="B16" t="s">
        <v>165</v>
      </c>
      <c r="C16">
        <f>2.96*1000/11630</f>
        <v>0.2545141874462597</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243.33619948409284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249.05560013954803</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254.51418744625971</v>
      </c>
      <c r="D8" s="22" t="s">
        <v>108</v>
      </c>
      <c r="E8" s="22" t="s">
        <v>147</v>
      </c>
      <c r="F8" s="22">
        <f>BUS!C16*1000</f>
        <v>254.51418744625971</v>
      </c>
      <c r="G8" s="22" t="s">
        <v>108</v>
      </c>
      <c r="H8" s="21" t="s">
        <v>131</v>
      </c>
      <c r="I8" s="22">
        <f>BUS!C10*1000</f>
        <v>69</v>
      </c>
      <c r="J8" s="22" t="s">
        <v>108</v>
      </c>
      <c r="K8" s="43" t="e">
        <f>BUS!E2*1000</f>
        <v>#VALUE!</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5.9267141542335562</v>
      </c>
      <c r="G11" s="82"/>
      <c r="H11" s="30">
        <f>F11/A11</f>
        <v>5.9267141542335562</v>
      </c>
      <c r="I11" s="1">
        <v>0</v>
      </c>
      <c r="J11" s="1">
        <f>I$8*F11</f>
        <v>408.94327664211539</v>
      </c>
      <c r="K11" s="30">
        <f>J11/A11</f>
        <v>408.94327664211539</v>
      </c>
    </row>
    <row r="12" spans="1:13" x14ac:dyDescent="0.3">
      <c r="A12" s="18">
        <f>'Passenger transport data'!H5</f>
        <v>5.833699949909569</v>
      </c>
      <c r="B12" s="1">
        <f>C$7*A12</f>
        <v>466.69599599276552</v>
      </c>
      <c r="C12" s="82">
        <f>I$4*B12/100</f>
        <v>3.966915965938507E-2</v>
      </c>
      <c r="D12" s="82"/>
      <c r="E12" s="82"/>
      <c r="F12" s="82">
        <f>F$11+C12</f>
        <v>5.9663833138929414</v>
      </c>
      <c r="G12" s="82"/>
      <c r="H12" s="27">
        <f t="shared" ref="H12:H14" si="0">F12/A12</f>
        <v>1.0227442900942187</v>
      </c>
      <c r="I12" s="1">
        <f>I$6*B12</f>
        <v>13.067487887797434</v>
      </c>
      <c r="J12" s="1">
        <f>F12*(I12+J$11)</f>
        <v>2517.8779837744751</v>
      </c>
      <c r="K12" s="27">
        <f>J12/A12</f>
        <v>431.60909978126421</v>
      </c>
    </row>
    <row r="13" spans="1:13" x14ac:dyDescent="0.3">
      <c r="A13" s="18">
        <f>'Passenger transport data'!I5</f>
        <v>18.34496839594204</v>
      </c>
      <c r="B13" s="1">
        <f t="shared" ref="B13:B14" si="1">C$7*A13</f>
        <v>1467.5974716753631</v>
      </c>
      <c r="C13" s="82">
        <f t="shared" ref="C13:C14" si="2">I$4*B13/100</f>
        <v>0.12474578509240587</v>
      </c>
      <c r="D13" s="82"/>
      <c r="E13" s="82"/>
      <c r="F13" s="82">
        <f t="shared" ref="F13:F14" si="3">F$11+C13</f>
        <v>6.0514599393259623</v>
      </c>
      <c r="G13" s="82"/>
      <c r="H13" s="27">
        <f t="shared" si="0"/>
        <v>0.32987028424996157</v>
      </c>
      <c r="I13" s="1">
        <f t="shared" ref="I13:I14" si="4">I$6*B13</f>
        <v>41.092729206910164</v>
      </c>
      <c r="J13" s="1">
        <f>F13*(I13+J$11)</f>
        <v>2723.3748606496429</v>
      </c>
      <c r="K13" s="27">
        <f>J13/A13</f>
        <v>148.45350517213544</v>
      </c>
    </row>
    <row r="14" spans="1:13" x14ac:dyDescent="0.3">
      <c r="A14" s="18">
        <f>'Passenger transport data'!J5</f>
        <v>30.856236841974511</v>
      </c>
      <c r="B14" s="1">
        <f t="shared" si="1"/>
        <v>2468.4989473579608</v>
      </c>
      <c r="C14" s="82">
        <f t="shared" si="2"/>
        <v>0.20982241052542669</v>
      </c>
      <c r="D14" s="82"/>
      <c r="E14" s="82"/>
      <c r="F14" s="82">
        <f t="shared" si="3"/>
        <v>6.1365365647589831</v>
      </c>
      <c r="G14" s="82"/>
      <c r="H14" s="27">
        <f t="shared" si="0"/>
        <v>0.19887507981567276</v>
      </c>
      <c r="I14" s="1">
        <f t="shared" si="4"/>
        <v>69.117970526022901</v>
      </c>
      <c r="J14" s="1">
        <f>F14*(I14+J$11)</f>
        <v>2933.6403234415625</v>
      </c>
      <c r="K14" s="27">
        <f>J14/A14</f>
        <v>95.074468687343568</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5.9267141542335562</v>
      </c>
      <c r="G16" s="82"/>
      <c r="H16" s="30">
        <f>F16/A16</f>
        <v>5.9267141542335562</v>
      </c>
      <c r="I16" s="1">
        <v>0</v>
      </c>
      <c r="J16" s="1">
        <f>F16*(0.5*C$8+0.5*I$8)</f>
        <v>958.68805691655768</v>
      </c>
      <c r="K16" s="30">
        <f>J16/A16</f>
        <v>958.68805691655768</v>
      </c>
    </row>
    <row r="17" spans="1:11" x14ac:dyDescent="0.3">
      <c r="A17" s="18">
        <f>'Passenger transport data'!H5</f>
        <v>5.833699949909569</v>
      </c>
      <c r="B17" s="1">
        <f>C$7*A17</f>
        <v>466.69599599276552</v>
      </c>
      <c r="C17" s="76">
        <f>B17*(0.5*I$4+0.5*C$5)/100</f>
        <v>0.11317377902824564</v>
      </c>
      <c r="D17" s="77"/>
      <c r="E17" s="78"/>
      <c r="F17" s="76">
        <f>F$16+C17</f>
        <v>6.0398879332618014</v>
      </c>
      <c r="G17" s="78"/>
      <c r="H17" s="27">
        <f>F17/A17</f>
        <v>1.0353442900942187</v>
      </c>
      <c r="I17" s="1">
        <f>B17*(0.5*C$6+0.5*I$6)/100</f>
        <v>0.2986854374353699</v>
      </c>
      <c r="J17" s="1">
        <f>F17*(I17+J$16)</f>
        <v>5792.1724533019269</v>
      </c>
      <c r="K17" s="27">
        <f>J17/A17</f>
        <v>992.88144797226232</v>
      </c>
    </row>
    <row r="18" spans="1:11" x14ac:dyDescent="0.3">
      <c r="A18" s="18">
        <f>'Passenger transport data'!I5</f>
        <v>18.34496839594204</v>
      </c>
      <c r="B18" s="1">
        <f t="shared" ref="B18:B19" si="5">C$7*A18</f>
        <v>1467.5974716753631</v>
      </c>
      <c r="C18" s="76">
        <f t="shared" ref="C18:C19" si="6">B18*(0.5*I$4+0.5*C$5)/100</f>
        <v>0.35589238688127556</v>
      </c>
      <c r="D18" s="77"/>
      <c r="E18" s="78"/>
      <c r="F18" s="76">
        <f t="shared" ref="F18:F19" si="7">F$16+C18</f>
        <v>6.2826065411148315</v>
      </c>
      <c r="G18" s="78"/>
      <c r="H18" s="27">
        <f t="shared" ref="H18:H19" si="8">F18/A18</f>
        <v>0.34247028424996157</v>
      </c>
      <c r="I18" s="1">
        <f t="shared" ref="I18:I19" si="9">B18*(0.5*C$6+0.5*I$6)/100</f>
        <v>0.93926238187223232</v>
      </c>
      <c r="J18" s="1">
        <f t="shared" ref="J18:J19" si="10">F18*(I18+J$16)</f>
        <v>6028.9608732568067</v>
      </c>
      <c r="K18" s="27">
        <f t="shared" ref="K18:K19" si="11">J18/A18</f>
        <v>328.64384081416188</v>
      </c>
    </row>
    <row r="19" spans="1:11" x14ac:dyDescent="0.3">
      <c r="A19" s="18">
        <f>'Passenger transport data'!J5</f>
        <v>30.856236841974511</v>
      </c>
      <c r="B19" s="1">
        <f t="shared" si="5"/>
        <v>2468.4989473579608</v>
      </c>
      <c r="C19" s="76">
        <f t="shared" si="6"/>
        <v>0.59861099473430546</v>
      </c>
      <c r="D19" s="77"/>
      <c r="E19" s="78"/>
      <c r="F19" s="76">
        <f t="shared" si="7"/>
        <v>6.5253251489678616</v>
      </c>
      <c r="G19" s="78"/>
      <c r="H19" s="27">
        <f t="shared" si="8"/>
        <v>0.21147507981567276</v>
      </c>
      <c r="I19" s="1">
        <f t="shared" si="9"/>
        <v>1.5798393263090948</v>
      </c>
      <c r="J19" s="1">
        <f t="shared" si="10"/>
        <v>6266.0602531000395</v>
      </c>
      <c r="K19" s="27">
        <f t="shared" si="11"/>
        <v>203.0727300023884</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5.9267141542335562</v>
      </c>
      <c r="G21" s="82"/>
      <c r="H21" s="30">
        <f>F21/A21</f>
        <v>5.9267141542335562</v>
      </c>
      <c r="I21" s="1">
        <v>0</v>
      </c>
      <c r="J21" s="1">
        <f>F21*K$6</f>
        <v>1351.2908271652509</v>
      </c>
      <c r="K21" s="30">
        <f>J21/A21</f>
        <v>1351.2908271652509</v>
      </c>
    </row>
    <row r="22" spans="1:11" x14ac:dyDescent="0.3">
      <c r="A22" s="18">
        <f>'Passenger transport data'!H5</f>
        <v>5.833699949909569</v>
      </c>
      <c r="B22" s="1">
        <f>C$7*A22</f>
        <v>466.69599599276552</v>
      </c>
      <c r="C22" s="76">
        <f>B22*C$5/100</f>
        <v>0.1866783983971062</v>
      </c>
      <c r="D22" s="77"/>
      <c r="E22" s="78"/>
      <c r="F22" s="79">
        <f>F$21+C22</f>
        <v>6.1133925526306623</v>
      </c>
      <c r="G22" s="80"/>
      <c r="H22" s="27">
        <f t="shared" ref="H22:H24" si="12">F22/A22</f>
        <v>1.0479442900942186</v>
      </c>
      <c r="I22" s="1">
        <f>C$6*B22</f>
        <v>46.669599599276552</v>
      </c>
      <c r="J22" s="1">
        <f>F22*(I22+J$21)</f>
        <v>8546.2808618546442</v>
      </c>
      <c r="K22" s="27">
        <f t="shared" ref="K22:K24" si="13">J22/A22</f>
        <v>1464.9846470055636</v>
      </c>
    </row>
    <row r="23" spans="1:11" x14ac:dyDescent="0.3">
      <c r="A23" s="18">
        <f>'Passenger transport data'!I5</f>
        <v>18.34496839594204</v>
      </c>
      <c r="B23" s="1">
        <f t="shared" ref="B23:B24" si="14">C$7*A23</f>
        <v>1467.5974716753631</v>
      </c>
      <c r="C23" s="76">
        <f t="shared" ref="C23:C24" si="15">B23*C$5/100</f>
        <v>0.58703898867014526</v>
      </c>
      <c r="D23" s="77"/>
      <c r="E23" s="78"/>
      <c r="F23" s="76">
        <f>F$21+C23</f>
        <v>6.5137531429037017</v>
      </c>
      <c r="G23" s="78"/>
      <c r="H23" s="27">
        <f t="shared" si="12"/>
        <v>0.35507028424996157</v>
      </c>
      <c r="I23" s="1">
        <f t="shared" ref="I23:I24" si="16">C$6*B23</f>
        <v>146.75974716753632</v>
      </c>
      <c r="J23" s="1">
        <f t="shared" ref="J23:J24" si="17">F23*(I23+J$21)</f>
        <v>9757.9316367888878</v>
      </c>
      <c r="K23" s="27">
        <f t="shared" si="13"/>
        <v>531.91324324916093</v>
      </c>
    </row>
    <row r="24" spans="1:11" x14ac:dyDescent="0.3">
      <c r="A24" s="18">
        <f>'Passenger transport data'!J5</f>
        <v>30.856236841974511</v>
      </c>
      <c r="B24" s="1">
        <f t="shared" si="14"/>
        <v>2468.4989473579608</v>
      </c>
      <c r="C24" s="76">
        <f t="shared" si="15"/>
        <v>0.98739957894318442</v>
      </c>
      <c r="D24" s="77"/>
      <c r="E24" s="78"/>
      <c r="F24" s="76">
        <f t="shared" ref="F24" si="18">F$21+C24</f>
        <v>6.9141137331767411</v>
      </c>
      <c r="G24" s="78"/>
      <c r="H24" s="27">
        <f t="shared" si="12"/>
        <v>0.22407507981567276</v>
      </c>
      <c r="I24" s="1">
        <f t="shared" si="16"/>
        <v>246.84989473579608</v>
      </c>
      <c r="J24" s="1">
        <f t="shared" si="17"/>
        <v>11049.72671284502</v>
      </c>
      <c r="K24" s="27">
        <f t="shared" si="13"/>
        <v>358.10350981665403</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5.9267141542335562</v>
      </c>
      <c r="G26" s="82"/>
      <c r="H26" s="30">
        <f>F26/A26</f>
        <v>5.9267141542335562</v>
      </c>
      <c r="I26" s="1">
        <v>0</v>
      </c>
      <c r="J26" s="1">
        <f>C$8*F26</f>
        <v>1508.4328371909999</v>
      </c>
      <c r="K26" s="30">
        <f>J26/A26</f>
        <v>1508.4328371909999</v>
      </c>
    </row>
    <row r="27" spans="1:11" x14ac:dyDescent="0.3">
      <c r="A27" s="18">
        <f>'Passenger transport data'!H5</f>
        <v>5.833699949909569</v>
      </c>
      <c r="B27" s="1">
        <f>C$7*A27</f>
        <v>466.69599599276552</v>
      </c>
      <c r="C27" s="76">
        <f>B27*C$5/100</f>
        <v>0.1866783983971062</v>
      </c>
      <c r="D27" s="77"/>
      <c r="E27" s="78"/>
      <c r="F27" s="79">
        <f>F$26+C27</f>
        <v>6.1133925526306623</v>
      </c>
      <c r="G27" s="80"/>
      <c r="H27" s="27">
        <f>F27/A27</f>
        <v>1.0479442900942186</v>
      </c>
      <c r="I27" s="1">
        <f>C$6*B27</f>
        <v>46.669599599276552</v>
      </c>
      <c r="J27" s="1">
        <f>F27*(I27+J$26)</f>
        <v>9506.9516556514718</v>
      </c>
      <c r="K27" s="27">
        <f>J27/A27</f>
        <v>1629.6607191459759</v>
      </c>
    </row>
    <row r="28" spans="1:11" x14ac:dyDescent="0.3">
      <c r="A28" s="18">
        <f>'Passenger transport data'!I5</f>
        <v>18.34496839594204</v>
      </c>
      <c r="B28" s="1">
        <f t="shared" ref="B28:B29" si="19">C$7*A28</f>
        <v>1467.5974716753631</v>
      </c>
      <c r="C28" s="76">
        <f t="shared" ref="C28:C29" si="20">B28*C$5/100</f>
        <v>0.58703898867014526</v>
      </c>
      <c r="D28" s="77"/>
      <c r="E28" s="78"/>
      <c r="F28" s="79">
        <f t="shared" ref="F28:F29" si="21">F$26+C28</f>
        <v>6.5137531429037017</v>
      </c>
      <c r="G28" s="80"/>
      <c r="H28" s="27">
        <f t="shared" ref="H28:H29" si="22">F28/A28</f>
        <v>0.35507028424996157</v>
      </c>
      <c r="I28" s="1">
        <f t="shared" ref="I28:I29" si="23">C$6*B28</f>
        <v>146.75974716753632</v>
      </c>
      <c r="J28" s="1">
        <f t="shared" ref="J28:J29" si="24">F28*(I28+J$26)</f>
        <v>10781.515898476315</v>
      </c>
      <c r="K28" s="27">
        <f t="shared" ref="K28:K29" si="25">J28/A28</f>
        <v>587.70970141661394</v>
      </c>
    </row>
    <row r="29" spans="1:11" x14ac:dyDescent="0.3">
      <c r="A29" s="18">
        <f>'Passenger transport data'!J5</f>
        <v>30.856236841974511</v>
      </c>
      <c r="B29" s="1">
        <f t="shared" si="19"/>
        <v>2468.4989473579608</v>
      </c>
      <c r="C29" s="76">
        <f t="shared" si="20"/>
        <v>0.98739957894318442</v>
      </c>
      <c r="D29" s="77"/>
      <c r="E29" s="78"/>
      <c r="F29" s="79">
        <f t="shared" si="21"/>
        <v>6.9141137331767411</v>
      </c>
      <c r="G29" s="80"/>
      <c r="H29" s="27">
        <f t="shared" si="22"/>
        <v>0.22407507981567276</v>
      </c>
      <c r="I29" s="1">
        <f t="shared" si="23"/>
        <v>246.84989473579608</v>
      </c>
      <c r="J29" s="1">
        <f t="shared" si="24"/>
        <v>12136.224442423048</v>
      </c>
      <c r="K29" s="27">
        <f t="shared" si="25"/>
        <v>393.31511825556896</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5.9267141542335562</v>
      </c>
      <c r="G31" s="82"/>
      <c r="H31" s="30">
        <f>F31/A31</f>
        <v>5.9267141542335562</v>
      </c>
      <c r="I31" s="1">
        <v>0</v>
      </c>
      <c r="J31" s="1" t="e">
        <f>K$8*F31</f>
        <v>#VALUE!</v>
      </c>
      <c r="K31" s="30" t="e">
        <f>J31/A31</f>
        <v>#VALUE!</v>
      </c>
    </row>
    <row r="32" spans="1:11" x14ac:dyDescent="0.3">
      <c r="A32" s="18">
        <f>'Passenger transport data'!H5</f>
        <v>5.833699949909569</v>
      </c>
      <c r="B32" s="1">
        <f>C$7*A32</f>
        <v>466.69599599276552</v>
      </c>
      <c r="C32" s="76">
        <f>B32*C$5/100</f>
        <v>0.1866783983971062</v>
      </c>
      <c r="D32" s="77"/>
      <c r="E32" s="78"/>
      <c r="F32" s="79">
        <f>F$31+C32</f>
        <v>6.1133925526306623</v>
      </c>
      <c r="G32" s="80"/>
      <c r="H32" s="27">
        <f>F32/A32</f>
        <v>1.0479442900942186</v>
      </c>
      <c r="I32" s="1">
        <f>C$6*B32</f>
        <v>46.669599599276552</v>
      </c>
      <c r="J32" s="1" t="e">
        <f>F32*(I32+J$31)</f>
        <v>#VALUE!</v>
      </c>
      <c r="K32" s="27" t="e">
        <f t="shared" ref="K32:K34" si="26">J32/A32</f>
        <v>#VALUE!</v>
      </c>
    </row>
    <row r="33" spans="1:11" x14ac:dyDescent="0.3">
      <c r="A33" s="18">
        <f>'Passenger transport data'!I5</f>
        <v>18.34496839594204</v>
      </c>
      <c r="B33" s="1">
        <f t="shared" ref="B33:B34" si="27">C$7*A33</f>
        <v>1467.5974716753631</v>
      </c>
      <c r="C33" s="76">
        <f t="shared" ref="C33:C34" si="28">B33*C$5/100</f>
        <v>0.58703898867014526</v>
      </c>
      <c r="D33" s="77"/>
      <c r="E33" s="78"/>
      <c r="F33" s="79">
        <f t="shared" ref="F33:F34" si="29">F$31+C33</f>
        <v>6.5137531429037017</v>
      </c>
      <c r="G33" s="80"/>
      <c r="H33" s="27">
        <f t="shared" ref="H33:H34" si="30">F33/A33</f>
        <v>0.35507028424996157</v>
      </c>
      <c r="I33" s="1">
        <f t="shared" ref="I33:I34" si="31">C$6*B33</f>
        <v>146.75974716753632</v>
      </c>
      <c r="J33" s="1" t="e">
        <f t="shared" ref="J33:J34" si="32">F33*(I33+J$31)</f>
        <v>#VALUE!</v>
      </c>
      <c r="K33" s="27" t="e">
        <f t="shared" si="26"/>
        <v>#VALUE!</v>
      </c>
    </row>
    <row r="34" spans="1:11" x14ac:dyDescent="0.3">
      <c r="A34" s="18">
        <f>'Passenger transport data'!J5</f>
        <v>30.856236841974511</v>
      </c>
      <c r="B34" s="1">
        <f t="shared" si="27"/>
        <v>2468.4989473579608</v>
      </c>
      <c r="C34" s="76">
        <f t="shared" si="28"/>
        <v>0.98739957894318442</v>
      </c>
      <c r="D34" s="77"/>
      <c r="E34" s="78"/>
      <c r="F34" s="79">
        <f t="shared" si="29"/>
        <v>6.9141137331767411</v>
      </c>
      <c r="G34" s="80"/>
      <c r="H34" s="27">
        <f t="shared" si="30"/>
        <v>0.22407507981567276</v>
      </c>
      <c r="I34" s="1">
        <f t="shared" si="31"/>
        <v>246.84989473579608</v>
      </c>
      <c r="J34" s="1" t="e">
        <f t="shared" si="32"/>
        <v>#VALUE!</v>
      </c>
      <c r="K34" s="27" t="e">
        <f t="shared" si="26"/>
        <v>#VALUE!</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H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249.05560013954803</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1.6615560105149416</v>
      </c>
      <c r="G11" s="98"/>
      <c r="H11" s="27">
        <f>F11/A11</f>
        <v>1.6615560105149416</v>
      </c>
      <c r="I11" s="1">
        <v>0</v>
      </c>
      <c r="J11" s="1">
        <f>C$8*F11</f>
        <v>413.81982936427198</v>
      </c>
      <c r="K11" s="27">
        <f>J11/A11</f>
        <v>413.81982936427198</v>
      </c>
    </row>
    <row r="12" spans="1:11" x14ac:dyDescent="0.3">
      <c r="A12" s="1">
        <v>2</v>
      </c>
      <c r="B12" s="1">
        <f>B11+C$7</f>
        <v>80</v>
      </c>
      <c r="C12" s="82">
        <f>C$5*B12/100</f>
        <v>3.2000000000000001E-2</v>
      </c>
      <c r="D12" s="82"/>
      <c r="E12" s="82"/>
      <c r="F12" s="82">
        <f>F$11+C12</f>
        <v>1.6935560105149416</v>
      </c>
      <c r="G12" s="82"/>
      <c r="H12" s="27">
        <f t="shared" ref="H12:H15" si="0">F12/A12</f>
        <v>0.84677800525747082</v>
      </c>
      <c r="I12" s="1">
        <f>C$6*B12</f>
        <v>8</v>
      </c>
      <c r="J12" s="1">
        <f>F12*(I12+J$11)</f>
        <v>714.37550737424988</v>
      </c>
      <c r="K12" s="27">
        <f t="shared" ref="K12:K15" si="1">J12/A12</f>
        <v>357.18775368712494</v>
      </c>
    </row>
    <row r="13" spans="1:11" x14ac:dyDescent="0.3">
      <c r="A13" s="1">
        <v>3</v>
      </c>
      <c r="B13" s="1">
        <f t="shared" ref="B13:B15" si="2">B12+C$7</f>
        <v>160</v>
      </c>
      <c r="C13" s="82">
        <f>C$5*B13/100</f>
        <v>6.4000000000000001E-2</v>
      </c>
      <c r="D13" s="82"/>
      <c r="E13" s="82"/>
      <c r="F13" s="82">
        <f t="shared" ref="F13:F15" si="3">F$11+C13</f>
        <v>1.7255560105149417</v>
      </c>
      <c r="G13" s="82"/>
      <c r="H13" s="27">
        <f t="shared" si="0"/>
        <v>0.57518533683831385</v>
      </c>
      <c r="I13" s="1">
        <f t="shared" ref="I13:I15" si="4">C$6*B13</f>
        <v>16</v>
      </c>
      <c r="J13" s="1">
        <f t="shared" ref="J13:J15" si="5">F13*(I13+J$11)</f>
        <v>741.67818999802614</v>
      </c>
      <c r="K13" s="27">
        <f t="shared" si="1"/>
        <v>247.22606333267538</v>
      </c>
    </row>
    <row r="14" spans="1:11" x14ac:dyDescent="0.3">
      <c r="A14" s="1">
        <v>4</v>
      </c>
      <c r="B14" s="1">
        <f t="shared" si="2"/>
        <v>240</v>
      </c>
      <c r="C14" s="82">
        <f>C$5*B14/100</f>
        <v>9.6000000000000002E-2</v>
      </c>
      <c r="D14" s="82"/>
      <c r="E14" s="82"/>
      <c r="F14" s="82">
        <f t="shared" si="3"/>
        <v>1.7575560105149417</v>
      </c>
      <c r="G14" s="82"/>
      <c r="H14" s="27">
        <f t="shared" si="0"/>
        <v>0.43938900262873543</v>
      </c>
      <c r="I14" s="1">
        <f t="shared" si="4"/>
        <v>24</v>
      </c>
      <c r="J14" s="1">
        <f t="shared" si="5"/>
        <v>769.49287262180235</v>
      </c>
      <c r="K14" s="27">
        <f t="shared" si="1"/>
        <v>192.37321815545059</v>
      </c>
    </row>
    <row r="15" spans="1:11" x14ac:dyDescent="0.3">
      <c r="A15" s="1">
        <v>5</v>
      </c>
      <c r="B15" s="1">
        <f t="shared" si="2"/>
        <v>320</v>
      </c>
      <c r="C15" s="82">
        <f>C$5*B15/100</f>
        <v>0.128</v>
      </c>
      <c r="D15" s="82"/>
      <c r="E15" s="82"/>
      <c r="F15" s="82">
        <f t="shared" si="3"/>
        <v>1.7895560105149415</v>
      </c>
      <c r="G15" s="82"/>
      <c r="H15" s="27">
        <f t="shared" si="0"/>
        <v>0.35791120210298832</v>
      </c>
      <c r="I15" s="1">
        <f t="shared" si="4"/>
        <v>32</v>
      </c>
      <c r="J15" s="1">
        <f t="shared" si="5"/>
        <v>797.8195552455785</v>
      </c>
      <c r="K15" s="27">
        <f t="shared" si="1"/>
        <v>159.56391104911569</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0.49057416188595615</v>
      </c>
      <c r="G17" s="98"/>
      <c r="H17" s="27">
        <f>F17/A17</f>
        <v>0.49057416188595615</v>
      </c>
      <c r="I17" s="1">
        <v>0</v>
      </c>
      <c r="J17" s="1">
        <f>C$8*F17</f>
        <v>122.1802423014626</v>
      </c>
      <c r="K17" s="27">
        <f>J17/A17</f>
        <v>122.1802423014626</v>
      </c>
    </row>
    <row r="18" spans="1:11" x14ac:dyDescent="0.3">
      <c r="A18" s="1">
        <v>2</v>
      </c>
      <c r="B18" s="1">
        <f>C7+B17</f>
        <v>80</v>
      </c>
      <c r="C18" s="82">
        <f>C$5*B18/100</f>
        <v>3.2000000000000001E-2</v>
      </c>
      <c r="D18" s="82"/>
      <c r="E18" s="82"/>
      <c r="F18" s="82">
        <f>F17+C18</f>
        <v>0.52257416188595618</v>
      </c>
      <c r="G18" s="82"/>
      <c r="H18" s="27">
        <f>F18/A18</f>
        <v>0.26128708094297809</v>
      </c>
      <c r="I18" s="1">
        <f>C6*B18</f>
        <v>8</v>
      </c>
      <c r="J18" s="1">
        <f>F18*(I18+J17)</f>
        <v>68.028831014797518</v>
      </c>
      <c r="K18" s="27">
        <f>J18/A18</f>
        <v>34.014415507398759</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5.9267141542335562</v>
      </c>
      <c r="G20" s="95"/>
      <c r="H20" s="30">
        <f>F20/A20</f>
        <v>5.9267141542335562</v>
      </c>
      <c r="I20" s="1">
        <v>0</v>
      </c>
      <c r="J20" s="1">
        <f>C$8*F20</f>
        <v>1476.0813505381923</v>
      </c>
      <c r="K20" s="1">
        <f>J20/A20</f>
        <v>1476.0813505381923</v>
      </c>
    </row>
    <row r="21" spans="1:11" x14ac:dyDescent="0.3">
      <c r="A21" s="18">
        <f>'Passenger transport data'!H5</f>
        <v>5.833699949909569</v>
      </c>
      <c r="B21" s="1">
        <f>C$7*A21</f>
        <v>466.69599599276552</v>
      </c>
      <c r="C21" s="76">
        <f>B21*C$5/100</f>
        <v>0.1866783983971062</v>
      </c>
      <c r="D21" s="77"/>
      <c r="E21" s="78"/>
      <c r="F21" s="96">
        <f>F$20+C21</f>
        <v>6.1133925526306623</v>
      </c>
      <c r="G21" s="97"/>
      <c r="H21" s="27">
        <f t="shared" ref="H21:H23" si="6">F21/A21</f>
        <v>1.0479442900942186</v>
      </c>
      <c r="I21" s="1">
        <f>C$6*B21</f>
        <v>46.669599599276552</v>
      </c>
      <c r="J21" s="1">
        <f>F21*(I21+J$20)</f>
        <v>9309.1743180816666</v>
      </c>
      <c r="K21" s="27">
        <f t="shared" ref="K21:K23" si="7">J21/A21</f>
        <v>1595.7581634321066</v>
      </c>
    </row>
    <row r="22" spans="1:11" x14ac:dyDescent="0.3">
      <c r="A22" s="18">
        <f>'Passenger transport data'!I5</f>
        <v>18.34496839594204</v>
      </c>
      <c r="B22" s="1">
        <f t="shared" ref="B22:B23" si="8">C$7*A22</f>
        <v>1467.5974716753631</v>
      </c>
      <c r="C22" s="76">
        <f t="shared" ref="C22:C23" si="9">B22*C$5/100</f>
        <v>0.58703898867014526</v>
      </c>
      <c r="D22" s="77"/>
      <c r="E22" s="78"/>
      <c r="F22" s="76">
        <f>F$20+C22</f>
        <v>6.5137531429037017</v>
      </c>
      <c r="G22" s="78"/>
      <c r="H22" s="27">
        <f t="shared" si="6"/>
        <v>0.35507028424996157</v>
      </c>
      <c r="I22" s="1">
        <f t="shared" ref="I22:I23" si="10">C$6*B22</f>
        <v>146.75974716753632</v>
      </c>
      <c r="J22" s="1">
        <f t="shared" ref="J22:J23" si="11">F22*(I22+J$20)</f>
        <v>10570.786300613983</v>
      </c>
      <c r="K22" s="27">
        <f t="shared" si="7"/>
        <v>576.22264985489278</v>
      </c>
    </row>
    <row r="23" spans="1:11" x14ac:dyDescent="0.3">
      <c r="A23" s="18">
        <f>'Passenger transport data'!J5</f>
        <v>30.856236841974511</v>
      </c>
      <c r="B23" s="1">
        <f t="shared" si="8"/>
        <v>2468.4989473579608</v>
      </c>
      <c r="C23" s="76">
        <f t="shared" si="9"/>
        <v>0.98739957894318442</v>
      </c>
      <c r="D23" s="77"/>
      <c r="E23" s="78"/>
      <c r="F23" s="76">
        <f t="shared" ref="F23" si="12">F$20+C23</f>
        <v>6.9141137331767411</v>
      </c>
      <c r="G23" s="78"/>
      <c r="H23" s="27">
        <f t="shared" si="6"/>
        <v>0.22407507981567276</v>
      </c>
      <c r="I23" s="1">
        <f t="shared" si="10"/>
        <v>246.84989473579608</v>
      </c>
      <c r="J23" s="1">
        <f t="shared" si="11"/>
        <v>11912.542584268187</v>
      </c>
      <c r="K23" s="27">
        <f t="shared" si="7"/>
        <v>386.06595630168545</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15.788573464782042</v>
      </c>
      <c r="B26" s="1">
        <f>C$7*A26</f>
        <v>1263.0858771825633</v>
      </c>
      <c r="C26" s="76">
        <f>B26*C$5/100</f>
        <v>0.50523435087302526</v>
      </c>
      <c r="D26" s="77"/>
      <c r="E26" s="78"/>
      <c r="F26" s="79">
        <f>F$25+C26</f>
        <v>19.729624350873028</v>
      </c>
      <c r="G26" s="80"/>
      <c r="H26" s="27">
        <f t="shared" ref="H26:H28" si="13">F26/A26</f>
        <v>1.2496141209262437</v>
      </c>
      <c r="I26" s="1">
        <f>C$6*B26</f>
        <v>126.30858771825633</v>
      </c>
      <c r="J26" s="1">
        <f>F26*(I26+J$25)</f>
        <v>103592.53504914917</v>
      </c>
      <c r="K26" s="27">
        <f t="shared" ref="K26:K28" si="14">J26/A26</f>
        <v>6561.2346346693357</v>
      </c>
    </row>
    <row r="27" spans="1:11" x14ac:dyDescent="0.3">
      <c r="A27" s="37">
        <f>'Passenger transport data'!I7</f>
        <v>49.649602090509561</v>
      </c>
      <c r="B27" s="1">
        <f t="shared" ref="B27" si="15">C$7*A27</f>
        <v>3971.9681672407651</v>
      </c>
      <c r="C27" s="76">
        <f t="shared" ref="C27:C28" si="16">B27*C$5/100</f>
        <v>1.5887872668963061</v>
      </c>
      <c r="D27" s="77"/>
      <c r="E27" s="78"/>
      <c r="F27" s="79">
        <f t="shared" ref="F27:F28" si="17">F$25+C27</f>
        <v>20.813177266896311</v>
      </c>
      <c r="G27" s="80"/>
      <c r="H27" s="27">
        <f t="shared" si="13"/>
        <v>0.41920129045454557</v>
      </c>
      <c r="I27" s="1">
        <f t="shared" ref="I27" si="18">C$6*B27</f>
        <v>397.19681672407654</v>
      </c>
      <c r="J27" s="1">
        <f t="shared" ref="J27:J28" si="19">F27*(I27+J$25)</f>
        <v>114919.89202508192</v>
      </c>
      <c r="K27" s="27">
        <f t="shared" si="14"/>
        <v>2314.6185908113989</v>
      </c>
    </row>
    <row r="28" spans="1:11" x14ac:dyDescent="0.3">
      <c r="A28" s="37">
        <f>'Passenger transport data'!J7</f>
        <v>83.510630716237088</v>
      </c>
      <c r="B28" s="1">
        <f>C$7*A28</f>
        <v>6680.8504572989668</v>
      </c>
      <c r="C28" s="76">
        <f t="shared" si="16"/>
        <v>2.6723401829195872</v>
      </c>
      <c r="D28" s="77"/>
      <c r="E28" s="78"/>
      <c r="F28" s="79">
        <f t="shared" si="17"/>
        <v>21.89673018291959</v>
      </c>
      <c r="G28" s="80"/>
      <c r="H28" s="27">
        <f t="shared" si="13"/>
        <v>0.262202907523511</v>
      </c>
      <c r="I28" s="1">
        <f>C$6*B28</f>
        <v>668.08504572989671</v>
      </c>
      <c r="J28" s="1">
        <f t="shared" si="19"/>
        <v>126834.29246192593</v>
      </c>
      <c r="K28" s="27">
        <f t="shared" si="14"/>
        <v>1518.7802004860844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H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249.05560013954803</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69</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0.34911016346219115</v>
      </c>
      <c r="G11" s="98"/>
      <c r="H11" s="27">
        <f>F11/A11</f>
        <v>0.34911016346219115</v>
      </c>
      <c r="I11" s="1">
        <v>0</v>
      </c>
      <c r="J11" s="1">
        <f>C$8*F11</f>
        <v>24.08860127889119</v>
      </c>
      <c r="K11" s="27">
        <f>J11/A11</f>
        <v>24.08860127889119</v>
      </c>
    </row>
    <row r="12" spans="1:11" x14ac:dyDescent="0.3">
      <c r="A12" s="1">
        <v>2</v>
      </c>
      <c r="B12" s="1">
        <f>B11+C$7</f>
        <v>70</v>
      </c>
      <c r="C12" s="82">
        <f t="shared" ref="C12:C15" si="0">C$4*B12/100</f>
        <v>5.9500000000000004E-3</v>
      </c>
      <c r="D12" s="82"/>
      <c r="E12" s="82"/>
      <c r="F12" s="82">
        <f>F$11+C12</f>
        <v>0.35506016346219116</v>
      </c>
      <c r="G12" s="82"/>
      <c r="H12" s="27">
        <f t="shared" ref="H12:H15" si="1">F12/A12</f>
        <v>0.17753008173109558</v>
      </c>
      <c r="I12" s="1">
        <f>C$6*B12</f>
        <v>1.9599999999999997</v>
      </c>
      <c r="J12" s="1">
        <f>F12*(I12+J$11)</f>
        <v>9.2488206280445482</v>
      </c>
      <c r="K12" s="27">
        <f t="shared" ref="K12:K15" si="2">J12/A12</f>
        <v>4.6244103140222741</v>
      </c>
    </row>
    <row r="13" spans="1:11" x14ac:dyDescent="0.3">
      <c r="A13" s="1">
        <v>3</v>
      </c>
      <c r="B13" s="1">
        <f t="shared" ref="B13:B15" si="3">B12+C$7</f>
        <v>140</v>
      </c>
      <c r="C13" s="82">
        <f t="shared" si="0"/>
        <v>1.1900000000000001E-2</v>
      </c>
      <c r="D13" s="82"/>
      <c r="E13" s="82"/>
      <c r="F13" s="82">
        <f t="shared" ref="F13:F15" si="4">F$11+C13</f>
        <v>0.36101016346219117</v>
      </c>
      <c r="G13" s="82"/>
      <c r="H13" s="27">
        <f t="shared" si="1"/>
        <v>0.12033672115406373</v>
      </c>
      <c r="I13" s="1">
        <f t="shared" ref="I13:I15" si="5">C$6*B13</f>
        <v>3.9199999999999995</v>
      </c>
      <c r="J13" s="1">
        <f t="shared" ref="J13:J15" si="6">F13*(I13+J$11)</f>
        <v>10.111389726039844</v>
      </c>
      <c r="K13" s="27">
        <f t="shared" si="2"/>
        <v>3.3704632420132814</v>
      </c>
    </row>
    <row r="14" spans="1:11" x14ac:dyDescent="0.3">
      <c r="A14" s="1">
        <v>4</v>
      </c>
      <c r="B14" s="1">
        <f t="shared" si="3"/>
        <v>210</v>
      </c>
      <c r="C14" s="82">
        <f t="shared" si="0"/>
        <v>1.7850000000000001E-2</v>
      </c>
      <c r="D14" s="82"/>
      <c r="E14" s="82"/>
      <c r="F14" s="82">
        <f t="shared" si="4"/>
        <v>0.36696016346219112</v>
      </c>
      <c r="G14" s="82"/>
      <c r="H14" s="27">
        <f t="shared" si="1"/>
        <v>9.1740040865547781E-2</v>
      </c>
      <c r="I14" s="1">
        <f t="shared" si="5"/>
        <v>5.879999999999999</v>
      </c>
      <c r="J14" s="1">
        <f t="shared" si="6"/>
        <v>10.997282824035141</v>
      </c>
      <c r="K14" s="27">
        <f t="shared" si="2"/>
        <v>2.7493207060087852</v>
      </c>
    </row>
    <row r="15" spans="1:11" x14ac:dyDescent="0.3">
      <c r="A15" s="1">
        <v>5</v>
      </c>
      <c r="B15" s="1">
        <f t="shared" si="3"/>
        <v>280</v>
      </c>
      <c r="C15" s="82">
        <f t="shared" si="0"/>
        <v>2.3800000000000002E-2</v>
      </c>
      <c r="D15" s="82"/>
      <c r="E15" s="82"/>
      <c r="F15" s="82">
        <f t="shared" si="4"/>
        <v>0.37291016346219114</v>
      </c>
      <c r="G15" s="82"/>
      <c r="H15" s="27">
        <f t="shared" si="1"/>
        <v>7.4582032692438224E-2</v>
      </c>
      <c r="I15" s="1">
        <f t="shared" si="5"/>
        <v>7.839999999999999</v>
      </c>
      <c r="J15" s="1">
        <f t="shared" si="6"/>
        <v>11.906499922030438</v>
      </c>
      <c r="K15" s="27">
        <f t="shared" si="2"/>
        <v>2.3812999844060876</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1.1624034603748035</v>
      </c>
      <c r="G17" s="95"/>
      <c r="H17" s="27">
        <f>F17/A17</f>
        <v>1.1624034603748035</v>
      </c>
      <c r="I17" s="1">
        <v>0</v>
      </c>
      <c r="J17" s="1">
        <f>F17*(0.5*C$8+0.5*F$6)</f>
        <v>184.85446509689771</v>
      </c>
      <c r="K17" s="27">
        <f>J17/A17</f>
        <v>184.85446509689771</v>
      </c>
    </row>
    <row r="18" spans="1:11" x14ac:dyDescent="0.3">
      <c r="A18" s="1">
        <v>2</v>
      </c>
      <c r="B18" s="1">
        <f>C$7+B17</f>
        <v>70</v>
      </c>
      <c r="C18" s="76">
        <f>B18*(0.5*C$4+0.5*'Transport c&amp;e fuel vehicles'!C$5)/100</f>
        <v>1.6975000000000001E-2</v>
      </c>
      <c r="D18" s="77"/>
      <c r="E18" s="78"/>
      <c r="F18" s="76">
        <f>F$17+C18</f>
        <v>1.1793784603748034</v>
      </c>
      <c r="G18" s="78"/>
      <c r="H18" s="27">
        <f t="shared" ref="H18:H21" si="7">F18/A18</f>
        <v>0.58968923018740171</v>
      </c>
      <c r="I18" s="1">
        <f>B18*(0.5*C$6+0.5*'Transport c&amp;e fuel vehicles'!C$6)/100</f>
        <v>4.4800000000000006E-2</v>
      </c>
      <c r="J18" s="1">
        <f>F18*(I18+J$17)</f>
        <v>218.06621059441187</v>
      </c>
      <c r="K18" s="27">
        <f t="shared" ref="K18:K21" si="8">J18/A18</f>
        <v>109.03310529720594</v>
      </c>
    </row>
    <row r="19" spans="1:11" x14ac:dyDescent="0.3">
      <c r="A19" s="1">
        <v>3</v>
      </c>
      <c r="B19" s="1">
        <f t="shared" ref="B19:B21" si="9">C$7+B18</f>
        <v>140</v>
      </c>
      <c r="C19" s="76">
        <f>B19*(0.5*C$4+0.5*'Transport c&amp;e fuel vehicles'!C$5)/100</f>
        <v>3.3950000000000001E-2</v>
      </c>
      <c r="D19" s="77"/>
      <c r="E19" s="78"/>
      <c r="F19" s="76">
        <f t="shared" ref="F19:F21" si="10">F$17+C19</f>
        <v>1.1963534603748034</v>
      </c>
      <c r="G19" s="78"/>
      <c r="H19" s="27">
        <f t="shared" si="7"/>
        <v>0.39878448679160111</v>
      </c>
      <c r="I19" s="1">
        <f>B19*(0.5*C$6+0.5*'Transport c&amp;e fuel vehicles'!C$6)/100</f>
        <v>8.9600000000000013E-2</v>
      </c>
      <c r="J19" s="1">
        <f t="shared" ref="J19:J21" si="11">F19*(I19+J$17)</f>
        <v>221.25847225445648</v>
      </c>
      <c r="K19" s="27">
        <f t="shared" si="8"/>
        <v>73.752824084818826</v>
      </c>
    </row>
    <row r="20" spans="1:11" x14ac:dyDescent="0.3">
      <c r="A20" s="1">
        <v>4</v>
      </c>
      <c r="B20" s="1">
        <f t="shared" si="9"/>
        <v>210</v>
      </c>
      <c r="C20" s="76">
        <f>B20*(0.5*C$4+0.5*'Transport c&amp;e fuel vehicles'!C$5)/100</f>
        <v>5.0925000000000005E-2</v>
      </c>
      <c r="D20" s="77"/>
      <c r="E20" s="78"/>
      <c r="F20" s="76">
        <f t="shared" si="10"/>
        <v>1.2133284603748036</v>
      </c>
      <c r="G20" s="78"/>
      <c r="H20" s="27">
        <f t="shared" si="7"/>
        <v>0.30333211509370089</v>
      </c>
      <c r="I20" s="1">
        <f>B20*(0.5*C$6+0.5*'Transport c&amp;e fuel vehicles'!C$6)/100</f>
        <v>0.13439999999999999</v>
      </c>
      <c r="J20" s="1">
        <f t="shared" si="11"/>
        <v>224.45225487450114</v>
      </c>
      <c r="K20" s="27">
        <f t="shared" si="8"/>
        <v>56.113063718625284</v>
      </c>
    </row>
    <row r="21" spans="1:11" x14ac:dyDescent="0.3">
      <c r="A21" s="1">
        <v>5</v>
      </c>
      <c r="B21" s="1">
        <f t="shared" si="9"/>
        <v>280</v>
      </c>
      <c r="C21" s="76">
        <f>B21*(0.5*C$4+0.5*'Transport c&amp;e fuel vehicles'!C$5)/100</f>
        <v>6.7900000000000002E-2</v>
      </c>
      <c r="D21" s="77"/>
      <c r="E21" s="78"/>
      <c r="F21" s="76">
        <f t="shared" si="10"/>
        <v>1.2303034603748035</v>
      </c>
      <c r="G21" s="78"/>
      <c r="H21" s="27">
        <f t="shared" si="7"/>
        <v>0.2460606920749607</v>
      </c>
      <c r="I21" s="1">
        <f>B21*(0.5*C$6+0.5*'Transport c&amp;e fuel vehicles'!C$6)/100</f>
        <v>0.17920000000000003</v>
      </c>
      <c r="J21" s="1">
        <f t="shared" si="11"/>
        <v>227.64755845454579</v>
      </c>
      <c r="K21" s="27">
        <f t="shared" si="8"/>
        <v>45.52951169090916</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0.14126783358702619</v>
      </c>
      <c r="G23" s="98"/>
      <c r="H23" s="27">
        <f>F23/A23</f>
        <v>0.14126783358702619</v>
      </c>
      <c r="I23" s="1">
        <v>0</v>
      </c>
      <c r="J23" s="1">
        <f>C$8*F23</f>
        <v>9.7474805175048065</v>
      </c>
      <c r="K23" s="27">
        <f>J23/A23</f>
        <v>9.7474805175048065</v>
      </c>
    </row>
    <row r="24" spans="1:11" x14ac:dyDescent="0.3">
      <c r="A24" s="1">
        <v>2</v>
      </c>
      <c r="B24" s="1">
        <f>C7+B23</f>
        <v>70</v>
      </c>
      <c r="C24" s="82">
        <f>C$5*B24/100</f>
        <v>0</v>
      </c>
      <c r="D24" s="82"/>
      <c r="E24" s="82"/>
      <c r="F24" s="82">
        <f>F23+C24</f>
        <v>0.14126783358702619</v>
      </c>
      <c r="G24" s="82"/>
      <c r="H24" s="27">
        <f>F24/A24</f>
        <v>7.0633916793513093E-2</v>
      </c>
      <c r="I24" s="1">
        <f>C6*B24</f>
        <v>1.9599999999999997</v>
      </c>
      <c r="J24" s="1">
        <f>F24*(I24+J23)</f>
        <v>1.65389040947022</v>
      </c>
      <c r="K24" s="27">
        <f>J24/A24</f>
        <v>0.82694520473511002</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1.2685689079294737E-2</v>
      </c>
      <c r="G26" s="95"/>
      <c r="H26" s="27">
        <f>F26/A26</f>
        <v>1.2685689079294737E-2</v>
      </c>
      <c r="I26" s="1">
        <v>0</v>
      </c>
      <c r="J26" s="1">
        <f>C$8*F26</f>
        <v>0.87531254647133694</v>
      </c>
      <c r="K26" s="27">
        <f>J26/A26</f>
        <v>0.87531254647133694</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2.7502573923910992E-2</v>
      </c>
      <c r="G28" s="95"/>
      <c r="H28" s="27">
        <f>F28/A28</f>
        <v>2.7502573923910992E-2</v>
      </c>
      <c r="I28" s="1">
        <v>0</v>
      </c>
      <c r="J28" s="1">
        <f>C$8*F28</f>
        <v>1.8976776007498584</v>
      </c>
      <c r="K28" s="27">
        <f>J28/A28</f>
        <v>1.8976776007498584</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0</v>
      </c>
      <c r="G30" s="95"/>
      <c r="H30" s="2">
        <f>F30/A30</f>
        <v>0</v>
      </c>
      <c r="I30" s="1">
        <v>0</v>
      </c>
      <c r="J30" s="1">
        <f>C$8*F30</f>
        <v>0</v>
      </c>
      <c r="K30" s="27">
        <f>J30/A30</f>
        <v>0</v>
      </c>
    </row>
    <row r="31" spans="1:11" x14ac:dyDescent="0.3">
      <c r="A31" s="18">
        <f>'Passenger transport data'!H6</f>
        <v>0</v>
      </c>
      <c r="B31" s="1">
        <f>C$7*A31</f>
        <v>0</v>
      </c>
      <c r="C31" s="76">
        <f t="shared" ref="C31:C33" si="12">C$4*B31/100</f>
        <v>0</v>
      </c>
      <c r="D31" s="77"/>
      <c r="E31" s="78"/>
      <c r="F31" s="76">
        <f>F$30+C31</f>
        <v>0</v>
      </c>
      <c r="G31" s="78"/>
      <c r="H31" s="27" t="e">
        <f t="shared" ref="H31:H33" si="13">F31/A31</f>
        <v>#DIV/0!</v>
      </c>
      <c r="I31" s="1">
        <f>C$6*B31</f>
        <v>0</v>
      </c>
      <c r="J31" s="1">
        <f>F31*(I31+J$30)</f>
        <v>0</v>
      </c>
      <c r="K31" s="27" t="e">
        <f t="shared" ref="K31:K33" si="14">J31/A31</f>
        <v>#DIV/0!</v>
      </c>
    </row>
    <row r="32" spans="1:11" x14ac:dyDescent="0.3">
      <c r="A32" s="18">
        <f>'Passenger transport data'!I6</f>
        <v>0</v>
      </c>
      <c r="B32" s="1">
        <f>C$7*A32</f>
        <v>0</v>
      </c>
      <c r="C32" s="76">
        <f t="shared" si="12"/>
        <v>0</v>
      </c>
      <c r="D32" s="77"/>
      <c r="E32" s="78"/>
      <c r="F32" s="76">
        <f t="shared" ref="F32:F33" si="15">F$30+C32</f>
        <v>0</v>
      </c>
      <c r="G32" s="78"/>
      <c r="H32" s="27" t="e">
        <f t="shared" si="13"/>
        <v>#DIV/0!</v>
      </c>
      <c r="I32" s="1">
        <f t="shared" ref="I32:I33" si="16">C$6*B32</f>
        <v>0</v>
      </c>
      <c r="J32" s="1">
        <f t="shared" ref="J32:J33" si="17">F32*(I32+J$30)</f>
        <v>0</v>
      </c>
      <c r="K32" s="27" t="e">
        <f t="shared" si="14"/>
        <v>#DIV/0!</v>
      </c>
    </row>
    <row r="33" spans="1:11" x14ac:dyDescent="0.3">
      <c r="A33" s="18">
        <f>'Passenger transport data'!J6</f>
        <v>0</v>
      </c>
      <c r="B33" s="1">
        <f>C$7*A33</f>
        <v>0</v>
      </c>
      <c r="C33" s="76">
        <f t="shared" si="12"/>
        <v>0</v>
      </c>
      <c r="D33" s="77"/>
      <c r="E33" s="78"/>
      <c r="F33" s="76">
        <f t="shared" si="15"/>
        <v>0</v>
      </c>
      <c r="G33" s="78"/>
      <c r="H33" s="27" t="e">
        <f t="shared" si="13"/>
        <v>#DIV/0!</v>
      </c>
      <c r="I33" s="1">
        <f t="shared" si="16"/>
        <v>0</v>
      </c>
      <c r="J33" s="1">
        <f t="shared" si="17"/>
        <v>0</v>
      </c>
      <c r="K33" s="27" t="e">
        <f t="shared" si="14"/>
        <v>#DIV/0!</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17.476966373231427</v>
      </c>
      <c r="G35" s="95"/>
      <c r="H35" s="2">
        <f>F35/A35</f>
        <v>17.476966373231427</v>
      </c>
      <c r="I35" s="1">
        <v>0</v>
      </c>
      <c r="J35" s="34">
        <f>C$8*F35</f>
        <v>1205.9106797529685</v>
      </c>
      <c r="K35" s="27">
        <f>J35/A35</f>
        <v>1205.9106797529685</v>
      </c>
    </row>
    <row r="36" spans="1:11" x14ac:dyDescent="0.3">
      <c r="A36" s="18">
        <f>'Passenger transport data'!H7</f>
        <v>15.788573464782042</v>
      </c>
      <c r="B36" s="1">
        <f>C$7*A36</f>
        <v>1105.200142534743</v>
      </c>
      <c r="C36" s="76">
        <f t="shared" ref="C36:C38" si="18">C$4*B36/100</f>
        <v>9.3942012115453166E-2</v>
      </c>
      <c r="D36" s="77"/>
      <c r="E36" s="78"/>
      <c r="F36" s="76">
        <f>F$35+C36</f>
        <v>17.570908385346879</v>
      </c>
      <c r="G36" s="78"/>
      <c r="H36" s="27">
        <f t="shared" ref="H36:H38" si="19">F36/A36</f>
        <v>1.1128876478005127</v>
      </c>
      <c r="I36" s="1">
        <f>C$6*B36</f>
        <v>30.945603990972803</v>
      </c>
      <c r="J36" s="34">
        <f>F36*(I36+J$35)</f>
        <v>21732.688447505396</v>
      </c>
      <c r="K36" s="27">
        <f t="shared" ref="K36:K38" si="20">J36/A36</f>
        <v>1376.4820802830784</v>
      </c>
    </row>
    <row r="37" spans="1:11" x14ac:dyDescent="0.3">
      <c r="A37" s="18">
        <f>'Passenger transport data'!I7</f>
        <v>49.649602090509561</v>
      </c>
      <c r="B37" s="1">
        <f t="shared" ref="B37:B38" si="21">C$7*A37</f>
        <v>3475.4721463356691</v>
      </c>
      <c r="C37" s="76">
        <f t="shared" si="18"/>
        <v>0.2954151324385319</v>
      </c>
      <c r="D37" s="77"/>
      <c r="E37" s="78"/>
      <c r="F37" s="76">
        <f t="shared" ref="F37:F38" si="22">F$35+C37</f>
        <v>17.772381505669959</v>
      </c>
      <c r="G37" s="78"/>
      <c r="H37" s="27">
        <f t="shared" si="19"/>
        <v>0.35795617200056312</v>
      </c>
      <c r="I37" s="1">
        <f t="shared" ref="I37:I38" si="23">C$6*B37</f>
        <v>97.313220097398727</v>
      </c>
      <c r="J37" s="34">
        <f t="shared" ref="J37:J38" si="24">F37*(I37+J$35)</f>
        <v>23161.392335447745</v>
      </c>
      <c r="K37" s="27">
        <f t="shared" si="20"/>
        <v>466.4970384500827</v>
      </c>
    </row>
    <row r="38" spans="1:11" x14ac:dyDescent="0.3">
      <c r="A38" s="18">
        <f>'Passenger transport data'!J7</f>
        <v>83.510630716237088</v>
      </c>
      <c r="B38" s="1">
        <f t="shared" si="21"/>
        <v>5845.7441501365965</v>
      </c>
      <c r="C38" s="76">
        <f t="shared" si="18"/>
        <v>0.49688825276161075</v>
      </c>
      <c r="D38" s="77"/>
      <c r="E38" s="78"/>
      <c r="F38" s="76">
        <f t="shared" si="22"/>
        <v>17.973854625993038</v>
      </c>
      <c r="G38" s="78"/>
      <c r="H38" s="27">
        <f t="shared" si="19"/>
        <v>0.21522834244979971</v>
      </c>
      <c r="I38" s="1">
        <f t="shared" si="23"/>
        <v>163.6808362038247</v>
      </c>
      <c r="J38" s="34">
        <f t="shared" si="24"/>
        <v>24616.838804800824</v>
      </c>
      <c r="K38" s="27">
        <f t="shared" si="20"/>
        <v>294.77491181268897</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0.34911016346219115</v>
      </c>
    </row>
    <row r="8" spans="1:6" x14ac:dyDescent="0.3">
      <c r="B8" s="1" t="s">
        <v>99</v>
      </c>
      <c r="C8" s="1">
        <v>6.96</v>
      </c>
      <c r="D8" s="1">
        <f t="shared" ref="D8:D10" si="0">C8/100</f>
        <v>6.9599999999999995E-2</v>
      </c>
      <c r="E8" s="1">
        <f>D8/D$7</f>
        <v>0.40465116279069768</v>
      </c>
      <c r="F8" s="1">
        <f>F$7*E8</f>
        <v>0.14126783358702619</v>
      </c>
    </row>
    <row r="9" spans="1:6" x14ac:dyDescent="0.3">
      <c r="B9" s="1" t="s">
        <v>100</v>
      </c>
      <c r="C9" s="1">
        <v>0.625</v>
      </c>
      <c r="D9" s="1">
        <f t="shared" si="0"/>
        <v>6.2500000000000003E-3</v>
      </c>
      <c r="E9" s="1">
        <f>D9/D$7</f>
        <v>3.6337209302325583E-2</v>
      </c>
      <c r="F9" s="1">
        <f t="shared" ref="F9:F10" si="1">F$7*E9</f>
        <v>1.2685689079294737E-2</v>
      </c>
    </row>
    <row r="10" spans="1:6" x14ac:dyDescent="0.3">
      <c r="B10" s="1" t="s">
        <v>101</v>
      </c>
      <c r="C10" s="1">
        <v>1.355</v>
      </c>
      <c r="D10" s="1">
        <f t="shared" si="0"/>
        <v>1.355E-2</v>
      </c>
      <c r="E10" s="1">
        <f>D10/D$7</f>
        <v>7.8779069767441867E-2</v>
      </c>
      <c r="F10" s="1">
        <f t="shared" si="1"/>
        <v>2.7502573923910992E-2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2022-06-30T08:52:27Z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