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611" documentId="8_{4C372892-E9C3-428B-950B-C5A505A38EBC}" xr6:coauthVersionLast="47" xr6:coauthVersionMax="47" xr10:uidLastSave="{4EA63F13-48E3-4C53-8178-FE445470329C}"/>
  <bookViews>
    <workbookView xWindow="1152" yWindow="1152" windowWidth="14712" windowHeight="8880" firstSheet="7" activeTab="7"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8" l="1"/>
  <c r="C16" i="11"/>
  <c r="B33" i="4" l="1"/>
  <c r="B32" i="4"/>
  <c r="B31" i="4"/>
  <c r="B26" i="4"/>
  <c r="B24" i="4"/>
  <c r="B21" i="4"/>
  <c r="B20" i="4"/>
  <c r="B16" i="4"/>
  <c r="B15" i="4"/>
  <c r="B13" i="4"/>
  <c r="B12" i="4"/>
  <c r="B11" i="4"/>
  <c r="B10" i="4"/>
  <c r="B8" i="4"/>
  <c r="B6" i="4"/>
  <c r="D10" i="1"/>
  <c r="B10" i="1"/>
  <c r="B4" i="1" l="1"/>
  <c r="B3" i="1"/>
  <c r="H6" i="12" l="1"/>
  <c r="H4" i="12" l="1"/>
  <c r="C15" i="11"/>
  <c r="K6" i="10" l="1"/>
  <c r="G5" i="10"/>
  <c r="F8" i="10"/>
  <c r="C11" i="11"/>
  <c r="E5" i="11" l="1"/>
  <c r="C8" i="10"/>
  <c r="I6" i="10"/>
  <c r="C5" i="10"/>
  <c r="C26" i="10" s="1"/>
  <c r="I4" i="10"/>
  <c r="F25" i="8"/>
  <c r="C25" i="8"/>
  <c r="C11" i="10" l="1"/>
  <c r="C31" i="10"/>
  <c r="C16" i="10"/>
  <c r="C21" i="10"/>
  <c r="H25" i="8"/>
  <c r="D25" i="4"/>
  <c r="B10" i="12" s="1"/>
  <c r="D15" i="4"/>
  <c r="D11" i="1"/>
  <c r="B11" i="1"/>
  <c r="H5" i="12" l="1"/>
  <c r="C10" i="12" s="1"/>
  <c r="F8" i="8"/>
  <c r="J25" i="8" s="1"/>
  <c r="K25" i="8" s="1"/>
  <c r="D3" i="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3" i="10"/>
  <c r="B23" i="10" s="1"/>
  <c r="A33" i="10"/>
  <c r="B33" i="10" s="1"/>
  <c r="A18" i="10"/>
  <c r="B18" i="10" s="1"/>
  <c r="A13" i="10"/>
  <c r="B13" i="10" s="1"/>
  <c r="A28" i="10"/>
  <c r="B28"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8" i="9"/>
  <c r="B38" i="9" s="1"/>
  <c r="C38" i="9" s="1"/>
  <c r="A39" i="12"/>
  <c r="A28" i="8"/>
  <c r="B28" i="8" s="1"/>
  <c r="A36" i="9"/>
  <c r="B36" i="9" s="1"/>
  <c r="C36" i="9" s="1"/>
  <c r="A37" i="12"/>
  <c r="A26" i="8"/>
  <c r="B26" i="8" s="1"/>
  <c r="I27" i="8"/>
  <c r="C27" i="8"/>
  <c r="F27" i="8" s="1"/>
  <c r="A42" i="12"/>
  <c r="A33" i="9"/>
  <c r="A51" i="12"/>
  <c r="A31" i="9"/>
  <c r="B31" i="9" s="1"/>
  <c r="C31" i="9" s="1"/>
  <c r="A49" i="12"/>
  <c r="A21" i="8"/>
  <c r="B21" i="8" s="1"/>
  <c r="I21" i="8" s="1"/>
  <c r="A17" i="12"/>
  <c r="A12" i="10"/>
  <c r="B12" i="10" s="1"/>
  <c r="A22" i="10"/>
  <c r="B22" i="10" s="1"/>
  <c r="A32" i="10"/>
  <c r="B32" i="10" s="1"/>
  <c r="A27" i="10"/>
  <c r="B27" i="10" s="1"/>
  <c r="A17" i="10"/>
  <c r="B17" i="10" s="1"/>
  <c r="C13" i="10"/>
  <c r="I13" i="10"/>
  <c r="C18" i="10"/>
  <c r="I18" i="10"/>
  <c r="C28" i="10"/>
  <c r="I28" i="10"/>
  <c r="I33" i="10"/>
  <c r="C33" i="10"/>
  <c r="I23" i="10"/>
  <c r="C23" i="10"/>
  <c r="A19" i="12"/>
  <c r="A24" i="10"/>
  <c r="B24" i="10" s="1"/>
  <c r="A34" i="10"/>
  <c r="B34" i="10" s="1"/>
  <c r="A19" i="10"/>
  <c r="B19" i="10" s="1"/>
  <c r="A14" i="10"/>
  <c r="B14" i="10" s="1"/>
  <c r="A29" i="10"/>
  <c r="B29" i="10" s="1"/>
  <c r="A26" i="12"/>
  <c r="A34" i="12"/>
  <c r="A30" i="12"/>
  <c r="A22" i="12"/>
  <c r="C43" i="9"/>
  <c r="I43" i="9"/>
  <c r="C42" i="9"/>
  <c r="I37" i="9"/>
  <c r="C37" i="9"/>
  <c r="C32" i="9"/>
  <c r="I32" i="9"/>
  <c r="B33" i="9"/>
  <c r="A23" i="8"/>
  <c r="B23" i="8" s="1"/>
  <c r="I23" i="8" s="1"/>
  <c r="C22" i="8"/>
  <c r="D29" i="4"/>
  <c r="D26" i="4"/>
  <c r="D27" i="4"/>
  <c r="D24" i="4"/>
  <c r="D17" i="4"/>
  <c r="D16" i="4"/>
  <c r="L6" i="10" s="1"/>
  <c r="D10" i="4"/>
  <c r="F11" i="8" s="1"/>
  <c r="D11" i="4"/>
  <c r="F17" i="9" s="1"/>
  <c r="D12" i="4"/>
  <c r="D13" i="4"/>
  <c r="D8" i="4"/>
  <c r="F17" i="8" s="1"/>
  <c r="I38" i="9" l="1"/>
  <c r="I31" i="9"/>
  <c r="F40" i="9"/>
  <c r="H40" i="9" s="1"/>
  <c r="B11" i="12"/>
  <c r="B46" i="12" s="1"/>
  <c r="B47" i="12"/>
  <c r="B45" i="12"/>
  <c r="F35" i="9"/>
  <c r="H35" i="9" s="1"/>
  <c r="B9" i="12"/>
  <c r="B38" i="12" s="1"/>
  <c r="F30" i="9"/>
  <c r="H30" i="9" s="1"/>
  <c r="B12" i="12"/>
  <c r="B50" i="12" s="1"/>
  <c r="B51" i="12"/>
  <c r="C41" i="9"/>
  <c r="H27" i="8"/>
  <c r="J27" i="8"/>
  <c r="K27" i="8" s="1"/>
  <c r="A41" i="12"/>
  <c r="I26" i="8"/>
  <c r="C26" i="8"/>
  <c r="F26" i="8" s="1"/>
  <c r="I36" i="9"/>
  <c r="I28" i="8"/>
  <c r="C28" i="8"/>
  <c r="F28" i="8" s="1"/>
  <c r="A43" i="12"/>
  <c r="B42" i="12"/>
  <c r="C42" i="12"/>
  <c r="C8" i="9"/>
  <c r="J35" i="9" s="1"/>
  <c r="H3" i="12"/>
  <c r="C10" i="11"/>
  <c r="F20" i="8"/>
  <c r="B4" i="12"/>
  <c r="F11" i="10"/>
  <c r="F31" i="10"/>
  <c r="F26" i="10"/>
  <c r="F21" i="10"/>
  <c r="F16" i="10"/>
  <c r="F18" i="10" s="1"/>
  <c r="H18" i="10" s="1"/>
  <c r="F13" i="10"/>
  <c r="H13" i="10" s="1"/>
  <c r="C27" i="10"/>
  <c r="I27" i="10"/>
  <c r="C21" i="8"/>
  <c r="C29" i="10"/>
  <c r="F29" i="10" s="1"/>
  <c r="I29" i="10"/>
  <c r="I17" i="10"/>
  <c r="C17" i="10"/>
  <c r="F17" i="10" s="1"/>
  <c r="I34" i="10"/>
  <c r="C34" i="10"/>
  <c r="F34" i="10" s="1"/>
  <c r="I22" i="10"/>
  <c r="C22" i="10"/>
  <c r="I24" i="10"/>
  <c r="C24" i="10"/>
  <c r="C12" i="10"/>
  <c r="F12" i="10" s="1"/>
  <c r="I12" i="10"/>
  <c r="C14" i="10"/>
  <c r="F14" i="10" s="1"/>
  <c r="I14" i="10"/>
  <c r="I19" i="10"/>
  <c r="C19" i="10"/>
  <c r="F19" i="10" s="1"/>
  <c r="I32" i="10"/>
  <c r="C32" i="10"/>
  <c r="F32" i="10" s="1"/>
  <c r="A31" i="12"/>
  <c r="A35" i="12"/>
  <c r="A23" i="12"/>
  <c r="A27" i="12"/>
  <c r="B19" i="12"/>
  <c r="A25" i="12"/>
  <c r="A33" i="12"/>
  <c r="A29" i="12"/>
  <c r="A21" i="12"/>
  <c r="B17" i="12"/>
  <c r="C8" i="8"/>
  <c r="J11" i="8" s="1"/>
  <c r="K11" i="8" s="1"/>
  <c r="F41" i="9"/>
  <c r="H41" i="9" s="1"/>
  <c r="F42" i="9"/>
  <c r="H42" i="9" s="1"/>
  <c r="F43" i="9"/>
  <c r="H43" i="9" s="1"/>
  <c r="F37" i="9"/>
  <c r="H37" i="9" s="1"/>
  <c r="F36" i="9"/>
  <c r="H36" i="9" s="1"/>
  <c r="F31" i="9"/>
  <c r="H31" i="9" s="1"/>
  <c r="F32" i="9"/>
  <c r="H32" i="9" s="1"/>
  <c r="H20" i="8"/>
  <c r="F21" i="8"/>
  <c r="F22" i="8"/>
  <c r="F11" i="9"/>
  <c r="F7" i="7"/>
  <c r="H17" i="9"/>
  <c r="F19" i="9"/>
  <c r="F20" i="9"/>
  <c r="F21" i="9"/>
  <c r="F18" i="9"/>
  <c r="H11" i="8"/>
  <c r="F13" i="8"/>
  <c r="F12" i="8"/>
  <c r="F14" i="8"/>
  <c r="F15" i="8"/>
  <c r="F18" i="8"/>
  <c r="C23" i="8"/>
  <c r="F23" i="8" s="1"/>
  <c r="I33" i="9"/>
  <c r="C33" i="9"/>
  <c r="F33" i="9" s="1"/>
  <c r="E10" i="1"/>
  <c r="B39" i="12" l="1"/>
  <c r="F38" i="9"/>
  <c r="H38" i="9" s="1"/>
  <c r="B49" i="12"/>
  <c r="B37" i="12"/>
  <c r="B41" i="12"/>
  <c r="C41" i="12"/>
  <c r="H26" i="8"/>
  <c r="J26" i="8"/>
  <c r="K26" i="8" s="1"/>
  <c r="B43" i="12"/>
  <c r="C43" i="12"/>
  <c r="H28" i="8"/>
  <c r="J28" i="8"/>
  <c r="K28" i="8" s="1"/>
  <c r="J30" i="9"/>
  <c r="J33" i="9" s="1"/>
  <c r="K33" i="9" s="1"/>
  <c r="C11" i="12"/>
  <c r="H8" i="12"/>
  <c r="C12" i="12"/>
  <c r="C9" i="12"/>
  <c r="J40" i="9"/>
  <c r="K40" i="9" s="1"/>
  <c r="I8" i="10"/>
  <c r="J16" i="10" s="1"/>
  <c r="J19" i="10" s="1"/>
  <c r="K19" i="10" s="1"/>
  <c r="E2" i="11"/>
  <c r="J20" i="8"/>
  <c r="K20" i="8" s="1"/>
  <c r="J15" i="8"/>
  <c r="J17" i="8"/>
  <c r="K17" i="8" s="1"/>
  <c r="J12" i="8"/>
  <c r="K12" i="8" s="1"/>
  <c r="J14" i="8"/>
  <c r="K14" i="8" s="1"/>
  <c r="J13" i="8"/>
  <c r="K13" i="8" s="1"/>
  <c r="H21" i="10"/>
  <c r="J21" i="10"/>
  <c r="K21" i="10" s="1"/>
  <c r="H31" i="10"/>
  <c r="F27" i="10"/>
  <c r="H27" i="10" s="1"/>
  <c r="H11" i="10"/>
  <c r="J26" i="10"/>
  <c r="K26" i="10" s="1"/>
  <c r="H26" i="10"/>
  <c r="F23" i="10"/>
  <c r="B8" i="12"/>
  <c r="B29" i="12" s="1"/>
  <c r="B6" i="12"/>
  <c r="B5" i="12"/>
  <c r="B23" i="12" s="1"/>
  <c r="B33" i="12"/>
  <c r="B18" i="12"/>
  <c r="F28" i="10"/>
  <c r="F24" i="10"/>
  <c r="J24" i="10" s="1"/>
  <c r="K24" i="10" s="1"/>
  <c r="F22" i="10"/>
  <c r="J22" i="10" s="1"/>
  <c r="K22" i="10" s="1"/>
  <c r="H16" i="10"/>
  <c r="F33" i="10"/>
  <c r="H24" i="10"/>
  <c r="H19" i="10"/>
  <c r="H14" i="10"/>
  <c r="H29" i="10"/>
  <c r="H32" i="10"/>
  <c r="H34" i="10"/>
  <c r="H12" i="10"/>
  <c r="B25" i="12"/>
  <c r="B27" i="12"/>
  <c r="H17" i="10"/>
  <c r="H22" i="8"/>
  <c r="H21" i="8"/>
  <c r="J32" i="9"/>
  <c r="K32" i="9" s="1"/>
  <c r="J31" i="9"/>
  <c r="K31" i="9" s="1"/>
  <c r="K35" i="9"/>
  <c r="J38" i="9"/>
  <c r="K38" i="9" s="1"/>
  <c r="J36" i="9"/>
  <c r="K36" i="9" s="1"/>
  <c r="J37" i="9"/>
  <c r="K37" i="9" s="1"/>
  <c r="F6" i="9"/>
  <c r="J17" i="9" s="1"/>
  <c r="J18" i="9" s="1"/>
  <c r="F8" i="7"/>
  <c r="F23" i="9" s="1"/>
  <c r="F9" i="7"/>
  <c r="F26" i="9" s="1"/>
  <c r="F10" i="7"/>
  <c r="F28" i="9" s="1"/>
  <c r="J11" i="9"/>
  <c r="H11" i="9"/>
  <c r="F12" i="9"/>
  <c r="F13" i="9"/>
  <c r="F14" i="9"/>
  <c r="F15" i="9"/>
  <c r="H20" i="9"/>
  <c r="H21" i="9"/>
  <c r="H19" i="9"/>
  <c r="H18" i="9"/>
  <c r="H13" i="8"/>
  <c r="K15" i="8"/>
  <c r="H15" i="8"/>
  <c r="H12" i="8"/>
  <c r="H14" i="8"/>
  <c r="H18" i="8"/>
  <c r="H23" i="8"/>
  <c r="H33" i="9"/>
  <c r="E9" i="3"/>
  <c r="E5" i="3"/>
  <c r="E3" i="3"/>
  <c r="C3" i="3" s="1"/>
  <c r="J29" i="10" l="1"/>
  <c r="K29" i="10" s="1"/>
  <c r="J27" i="10"/>
  <c r="K27" i="10" s="1"/>
  <c r="K30" i="9"/>
  <c r="J18" i="8"/>
  <c r="K18" i="8" s="1"/>
  <c r="J41" i="9"/>
  <c r="K41" i="9" s="1"/>
  <c r="J43" i="9"/>
  <c r="K43" i="9" s="1"/>
  <c r="J42" i="9"/>
  <c r="K42" i="9" s="1"/>
  <c r="K8" i="10"/>
  <c r="J31" i="10" s="1"/>
  <c r="J34" i="10" s="1"/>
  <c r="K34" i="10" s="1"/>
  <c r="H7" i="12"/>
  <c r="C4" i="12" s="1"/>
  <c r="C17" i="12" s="1"/>
  <c r="J11" i="10"/>
  <c r="K11" i="10" s="1"/>
  <c r="C39" i="12"/>
  <c r="C38" i="12"/>
  <c r="C37" i="12"/>
  <c r="C50" i="12"/>
  <c r="C49" i="12"/>
  <c r="C51" i="12"/>
  <c r="C47" i="12"/>
  <c r="C45" i="12"/>
  <c r="C46" i="12"/>
  <c r="J21" i="8"/>
  <c r="K21" i="8" s="1"/>
  <c r="J23" i="8"/>
  <c r="K23" i="8" s="1"/>
  <c r="J22" i="8"/>
  <c r="K22" i="8" s="1"/>
  <c r="K16" i="10"/>
  <c r="J18" i="10"/>
  <c r="K18" i="10" s="1"/>
  <c r="C6" i="12"/>
  <c r="B26" i="12"/>
  <c r="C7" i="12"/>
  <c r="B34" i="12"/>
  <c r="C8" i="12"/>
  <c r="B30" i="12"/>
  <c r="B21" i="12"/>
  <c r="J23" i="10"/>
  <c r="K23" i="10" s="1"/>
  <c r="H23" i="10"/>
  <c r="H33" i="10"/>
  <c r="H28" i="10"/>
  <c r="J28" i="10"/>
  <c r="K28" i="10" s="1"/>
  <c r="B35" i="12"/>
  <c r="C5" i="12"/>
  <c r="B22" i="12"/>
  <c r="H22" i="10"/>
  <c r="J17" i="10"/>
  <c r="K17" i="10" s="1"/>
  <c r="B31"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18" i="12" l="1"/>
  <c r="J14" i="10"/>
  <c r="K14" i="10" s="1"/>
  <c r="J13" i="10"/>
  <c r="K13" i="10" s="1"/>
  <c r="C19" i="12"/>
  <c r="J12" i="10"/>
  <c r="K12" i="10" s="1"/>
  <c r="K31" i="10"/>
  <c r="J32" i="10"/>
  <c r="K32" i="10" s="1"/>
  <c r="J33" i="10"/>
  <c r="K33" i="10" s="1"/>
  <c r="C22" i="12"/>
  <c r="C23" i="12"/>
  <c r="C21" i="12"/>
  <c r="C26" i="12"/>
  <c r="C27" i="12"/>
  <c r="C25" i="12"/>
  <c r="C34" i="12"/>
  <c r="C33" i="12"/>
  <c r="C35" i="12"/>
  <c r="C30" i="12"/>
  <c r="C29" i="12"/>
  <c r="C31" i="12"/>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<sst xmlns="http://schemas.openxmlformats.org/spreadsheetml/2006/main" count="307" uniqueCount="195">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</sst>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SK/JRC-IDEES-2015_Residential_S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SK/JRC-IDEES-2015_Transport_S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3757.87471071869</v>
          </cell>
        </row>
        <row r="162">
          <cell r="Q162">
            <v>505.74978261345268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1090.8551431036021</v>
          </cell>
        </row>
        <row r="56">
          <cell r="Q56">
            <v>2941.1200805316253</v>
          </cell>
        </row>
      </sheetData>
      <sheetData sheetId="3">
        <row r="150">
          <cell r="Q150">
            <v>18.029207308434426</v>
          </cell>
        </row>
      </sheetData>
      <sheetData sheetId="4">
        <row r="62">
          <cell r="Q62">
            <v>3.5211536103297267</v>
          </cell>
        </row>
        <row r="64">
          <cell r="Q64">
            <v>5.5446494818281549</v>
          </cell>
        </row>
        <row r="65">
          <cell r="Q65">
            <v>5.7116828319562858</v>
          </cell>
        </row>
        <row r="68">
          <cell r="Q68">
            <v>4.7706968830263419</v>
          </cell>
        </row>
        <row r="69">
          <cell r="Q69">
            <v>2.6775301338209734</v>
          </cell>
        </row>
        <row r="70">
          <cell r="Q70">
            <v>48.703890547125425</v>
          </cell>
        </row>
      </sheetData>
      <sheetData sheetId="5">
        <row r="48">
          <cell r="Q48">
            <v>2.7905228132280677</v>
          </cell>
        </row>
        <row r="49">
          <cell r="Q49">
            <v>2.8288690428069216</v>
          </cell>
        </row>
      </sheetData>
      <sheetData sheetId="6" refreshError="1"/>
      <sheetData sheetId="7">
        <row r="62">
          <cell r="Q62">
            <v>79.903955960293985</v>
          </cell>
        </row>
        <row r="63">
          <cell r="Q63">
            <v>99.879944950367474</v>
          </cell>
        </row>
      </sheetData>
      <sheetData sheetId="8">
        <row r="31">
          <cell r="Q31">
            <v>29.425727622975629</v>
          </cell>
        </row>
        <row r="34">
          <cell r="Q34">
            <v>97.004434440667055</v>
          </cell>
        </row>
      </sheetData>
      <sheetData sheetId="9"/>
      <sheetData sheetId="10">
        <row r="69">
          <cell r="Q69">
            <v>122.90630058149991</v>
          </cell>
        </row>
      </sheetData>
      <sheetData sheetId="11">
        <row r="37">
          <cell r="Q37">
            <v>2540.4702580689686</v>
          </cell>
        </row>
      </sheetData>
      <sheetData sheetId="12">
        <row r="41">
          <cell r="Q41">
            <v>7647.6009901913912</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505.74978261345268</v>
      </c>
      <c r="C3" s="6">
        <v>0.125</v>
      </c>
      <c r="D3" s="2">
        <f>B3*$C3</f>
        <v>63.218722826681585</v>
      </c>
      <c r="E3" s="31">
        <v>11.33</v>
      </c>
    </row>
    <row r="4" spans="1:5" x14ac:dyDescent="0.3">
      <c r="A4" s="1" t="s">
        <v>5</v>
      </c>
      <c r="B4" s="6">
        <f>[1]RES_summary!$Q$157</f>
        <v>3757.87471071869</v>
      </c>
      <c r="C4" s="6">
        <v>0.20200000000000001</v>
      </c>
      <c r="D4" s="29">
        <f>B4*$C4</f>
        <v>759.09069156517546</v>
      </c>
      <c r="E4" s="31">
        <v>39.36</v>
      </c>
    </row>
    <row r="5" spans="1:5" x14ac:dyDescent="0.3">
      <c r="A5" s="1" t="s">
        <v>6</v>
      </c>
      <c r="B5" s="2">
        <f>B3+B4</f>
        <v>4263.6244933321432</v>
      </c>
      <c r="C5" s="3" t="s">
        <v>7</v>
      </c>
      <c r="D5" s="29">
        <f>D3+D4</f>
        <v>822.30941439185699</v>
      </c>
      <c r="E5" s="31">
        <f>E3+E4</f>
        <v>50.69</v>
      </c>
    </row>
    <row r="7" spans="1:5" x14ac:dyDescent="0.3">
      <c r="A7" t="s">
        <v>20</v>
      </c>
      <c r="B7" s="5">
        <v>5421349</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1090.8551431036021</v>
      </c>
      <c r="C10" s="2">
        <f>B10*11630*1000/B7</f>
        <v>2340.1270263720144</v>
      </c>
      <c r="D10" s="6">
        <f>[2]Transport!$Q$56</f>
        <v>2941.1200805316253</v>
      </c>
      <c r="E10" s="2">
        <f>D10*1000000/B7</f>
        <v>542.50705507644409</v>
      </c>
    </row>
    <row r="11" spans="1:5" x14ac:dyDescent="0.3">
      <c r="A11" s="39" t="s">
        <v>142</v>
      </c>
      <c r="B11" s="40">
        <f>B10*11630</f>
        <v>12686645.314294893</v>
      </c>
      <c r="C11" s="40" t="s">
        <v>143</v>
      </c>
      <c r="D11" s="40">
        <f>D10*1000</f>
        <v>2941120.0805316251</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379.31233696008951</v>
      </c>
      <c r="C2" s="35">
        <f>E2*0.9</f>
        <v>455.1748043521074</v>
      </c>
      <c r="D2" s="35">
        <f>0.95*E2</f>
        <v>480.46229348278001</v>
      </c>
      <c r="E2" s="35">
        <f>'Cons and emi per capita'!B3</f>
        <v>505.74978261345268</v>
      </c>
      <c r="F2" s="35">
        <f>1.05*E2</f>
        <v>531.03727174412529</v>
      </c>
      <c r="G2" s="35">
        <f>1.25*E2</f>
        <v>632.18722826681585</v>
      </c>
      <c r="H2" s="12" t="s">
        <v>28</v>
      </c>
    </row>
    <row r="3" spans="1:8" x14ac:dyDescent="0.3">
      <c r="A3" s="1" t="s">
        <v>5</v>
      </c>
      <c r="B3" s="35">
        <f t="shared" ref="B3:B4" si="0">0.75*E3</f>
        <v>2818.4060330390175</v>
      </c>
      <c r="C3" s="35">
        <f t="shared" ref="C3:C4" si="1">E3*0.9</f>
        <v>3382.0872396468212</v>
      </c>
      <c r="D3" s="35">
        <f t="shared" ref="D3:D9" si="2">0.95*E3</f>
        <v>3569.9809751827552</v>
      </c>
      <c r="E3" s="17">
        <f>'Cons and emi per capita'!B4</f>
        <v>3757.87471071869</v>
      </c>
      <c r="F3" s="35">
        <f t="shared" ref="F3:F9" si="3">1.05*E3</f>
        <v>3945.7684462546249</v>
      </c>
      <c r="G3" s="35">
        <f t="shared" ref="G3:G4" si="4">1.25*E3</f>
        <v>4697.3433883983625</v>
      </c>
      <c r="H3" s="1" t="s">
        <v>28</v>
      </c>
    </row>
    <row r="4" spans="1:8" x14ac:dyDescent="0.3">
      <c r="A4" s="1" t="s">
        <v>18</v>
      </c>
      <c r="B4" s="35">
        <f t="shared" si="0"/>
        <v>3197.7183699991074</v>
      </c>
      <c r="C4" s="35">
        <f t="shared" si="1"/>
        <v>3837.2620439989291</v>
      </c>
      <c r="D4" s="35">
        <f t="shared" si="2"/>
        <v>4050.4432686655359</v>
      </c>
      <c r="E4" s="17">
        <f>E2+E3</f>
        <v>4263.6244933321432</v>
      </c>
      <c r="F4" s="35">
        <f t="shared" si="3"/>
        <v>4476.8057179987509</v>
      </c>
      <c r="G4" s="35">
        <f t="shared" si="4"/>
        <v>5329.530616665179</v>
      </c>
      <c r="H4" s="1" t="s">
        <v>28</v>
      </c>
    </row>
    <row r="5" spans="1:8" x14ac:dyDescent="0.3">
      <c r="A5" s="1" t="s">
        <v>33</v>
      </c>
      <c r="B5" s="17">
        <f>0.84*E5</f>
        <v>1965.706702152492</v>
      </c>
      <c r="C5" s="35">
        <f>E5*0.91</f>
        <v>2129.5155939985329</v>
      </c>
      <c r="D5" s="35">
        <f t="shared" si="2"/>
        <v>2223.1206750534134</v>
      </c>
      <c r="E5" s="17">
        <f>'Cons and emi per capita'!C10</f>
        <v>2340.1270263720144</v>
      </c>
      <c r="F5" s="35">
        <f t="shared" si="3"/>
        <v>2457.1333776906154</v>
      </c>
      <c r="G5" s="17">
        <f>1.16*E5</f>
        <v>2714.5473505915365</v>
      </c>
      <c r="H5" s="1" t="s">
        <v>28</v>
      </c>
    </row>
    <row r="6" spans="1:8" x14ac:dyDescent="0.3">
      <c r="A6" s="1" t="s">
        <v>29</v>
      </c>
      <c r="B6" s="17">
        <f>0.75*E6</f>
        <v>47.414042120011189</v>
      </c>
      <c r="C6" s="35">
        <f>E6*0.9</f>
        <v>56.896850544013425</v>
      </c>
      <c r="D6" s="35">
        <f t="shared" si="2"/>
        <v>60.057786685347502</v>
      </c>
      <c r="E6" s="17">
        <f>'Cons and emi per capita'!D3</f>
        <v>63.218722826681585</v>
      </c>
      <c r="F6" s="35">
        <f t="shared" si="3"/>
        <v>66.379658968015661</v>
      </c>
      <c r="G6" s="17">
        <f>1.25*E6</f>
        <v>79.023403533351981</v>
      </c>
      <c r="H6" s="1" t="s">
        <v>30</v>
      </c>
    </row>
    <row r="7" spans="1:8" x14ac:dyDescent="0.3">
      <c r="A7" s="1" t="s">
        <v>31</v>
      </c>
      <c r="B7" s="17">
        <f>0.75*E7</f>
        <v>569.31801867388162</v>
      </c>
      <c r="C7" s="35">
        <f t="shared" ref="C7:C8" si="5">E7*0.9</f>
        <v>683.18162240865797</v>
      </c>
      <c r="D7" s="35">
        <f t="shared" si="2"/>
        <v>721.1361569869166</v>
      </c>
      <c r="E7" s="17">
        <f>'Cons and emi per capita'!D4</f>
        <v>759.09069156517546</v>
      </c>
      <c r="F7" s="35">
        <f t="shared" si="3"/>
        <v>797.04522614343432</v>
      </c>
      <c r="G7" s="17">
        <f t="shared" ref="G7:G8" si="6">1.25*E7</f>
        <v>948.8633644564693</v>
      </c>
      <c r="H7" s="1" t="s">
        <v>30</v>
      </c>
    </row>
    <row r="8" spans="1:8" x14ac:dyDescent="0.3">
      <c r="A8" s="1" t="s">
        <v>32</v>
      </c>
      <c r="B8" s="17">
        <f t="shared" ref="B8" si="7">0.75*E8</f>
        <v>616.73206079389274</v>
      </c>
      <c r="C8" s="35">
        <f t="shared" si="5"/>
        <v>740.07847295267129</v>
      </c>
      <c r="D8" s="35">
        <f t="shared" si="2"/>
        <v>781.19394367226414</v>
      </c>
      <c r="E8" s="17">
        <f>E6+E7</f>
        <v>822.30941439185699</v>
      </c>
      <c r="F8" s="35">
        <f t="shared" si="3"/>
        <v>863.42488511144984</v>
      </c>
      <c r="G8" s="17">
        <f t="shared" si="6"/>
        <v>1027.8867679898212</v>
      </c>
      <c r="H8" s="1" t="s">
        <v>30</v>
      </c>
    </row>
    <row r="9" spans="1:8" x14ac:dyDescent="0.3">
      <c r="A9" s="1" t="s">
        <v>34</v>
      </c>
      <c r="B9" s="17">
        <f>0.84*E9</f>
        <v>455.70592626421302</v>
      </c>
      <c r="C9" s="35">
        <f>E9*0.91</f>
        <v>493.68142011956417</v>
      </c>
      <c r="D9" s="35">
        <f t="shared" si="2"/>
        <v>515.38170232262189</v>
      </c>
      <c r="E9" s="17">
        <f>'Cons and emi per capita'!E10</f>
        <v>542.50705507644409</v>
      </c>
      <c r="F9" s="35">
        <f t="shared" si="3"/>
        <v>569.63240783026629</v>
      </c>
      <c r="G9" s="17">
        <f>1.16*E9</f>
        <v>629.3081838886751</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5163.4250721515991</v>
      </c>
      <c r="C13" s="37">
        <f t="shared" ref="C13:G13" si="8">SUM(C4:C5)</f>
        <v>5966.7776379974621</v>
      </c>
      <c r="D13" s="37">
        <f t="shared" si="8"/>
        <v>6273.5639437189493</v>
      </c>
      <c r="E13" s="37">
        <f t="shared" si="8"/>
        <v>6603.7515197041575</v>
      </c>
      <c r="F13" s="37">
        <f t="shared" si="8"/>
        <v>6933.9390956893658</v>
      </c>
      <c r="G13" s="37">
        <f t="shared" si="8"/>
        <v>8044.0779672567151</v>
      </c>
    </row>
    <row r="14" spans="1:8" x14ac:dyDescent="0.3">
      <c r="B14" s="37">
        <f>SUM(B8:B9)</f>
        <v>1072.4379870581058</v>
      </c>
      <c r="C14" s="37">
        <f t="shared" ref="C14:G14" si="9">SUM(C8:C9)</f>
        <v>1233.7598930722354</v>
      </c>
      <c r="D14" s="37">
        <f t="shared" si="9"/>
        <v>1296.5756459948861</v>
      </c>
      <c r="E14" s="37">
        <f t="shared" si="9"/>
        <v>1364.816469468301</v>
      </c>
      <c r="F14" s="37">
        <f t="shared" si="9"/>
        <v>1433.0572929417162</v>
      </c>
      <c r="G14" s="37">
        <f t="shared" si="9"/>
        <v>1657.1949518784963</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sheetPr>
    <pageSetUpPr fitToPage="1"/>
  </sheetPr>
  <dimension ref="A1:K36"/>
  <sheetViews>
    <sheetView topLeftCell="A8" zoomScale="90" zoomScaleNormal="90" workbookViewId="0">
      <selection activeCell="I24" sqref="I2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5.7332879240821475</v>
      </c>
      <c r="I5" s="17">
        <f>B6</f>
        <v>18.029207308434426</v>
      </c>
      <c r="J5" s="17">
        <f>J$4*I5/I$4</f>
        <v>30.325126692786704</v>
      </c>
    </row>
    <row r="6" spans="1:11" x14ac:dyDescent="0.3">
      <c r="A6" s="1" t="s">
        <v>40</v>
      </c>
      <c r="B6" s="6">
        <f>[2]TrRoad_act!$Q$150</f>
        <v>18.029207308434426</v>
      </c>
      <c r="C6" s="1" t="s">
        <v>59</v>
      </c>
      <c r="D6" s="3" t="s">
        <v>7</v>
      </c>
      <c r="E6" s="1"/>
      <c r="G6" s="1" t="s">
        <v>83</v>
      </c>
      <c r="H6" s="17">
        <f t="shared" ref="H6:H8" si="0">H$4*I6/I$4</f>
        <v>25.409457995373486</v>
      </c>
      <c r="I6" s="17">
        <f>B20</f>
        <v>79.903955960293985</v>
      </c>
      <c r="J6" s="17">
        <f t="shared" ref="J6:J8" si="1">J$4*I6/I$4</f>
        <v>134.39845392521448</v>
      </c>
    </row>
    <row r="7" spans="1:11" x14ac:dyDescent="0.3">
      <c r="A7" s="57" t="s">
        <v>61</v>
      </c>
      <c r="B7" s="57"/>
      <c r="C7" s="57"/>
      <c r="D7" s="57"/>
      <c r="E7" s="57"/>
      <c r="G7" s="1" t="s">
        <v>84</v>
      </c>
      <c r="H7" s="17">
        <f t="shared" si="0"/>
        <v>31.761822494216858</v>
      </c>
      <c r="I7" s="17">
        <f>B21</f>
        <v>99.879944950367474</v>
      </c>
      <c r="J7" s="17">
        <f t="shared" si="1"/>
        <v>167.99806740651809</v>
      </c>
    </row>
    <row r="8" spans="1:11" x14ac:dyDescent="0.3">
      <c r="A8" s="1" t="s">
        <v>42</v>
      </c>
      <c r="B8" s="6">
        <f>[2]TrRoad_ene!$Q$62</f>
        <v>3.5211536103297267</v>
      </c>
      <c r="C8" s="74" t="s">
        <v>60</v>
      </c>
      <c r="D8" s="27">
        <f>B8*11.63/100</f>
        <v>0.40951016488134728</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5.6281661568922203</v>
      </c>
      <c r="C10" s="74"/>
      <c r="D10" s="27">
        <f t="shared" ref="D10:D13" si="2">B10*11.63/100</f>
        <v>0.65455572404656526</v>
      </c>
      <c r="E10" s="74"/>
    </row>
    <row r="11" spans="1:11" x14ac:dyDescent="0.3">
      <c r="A11" s="1" t="s">
        <v>45</v>
      </c>
      <c r="B11" s="6">
        <f>[2]TrRoad_ene!$Q$68</f>
        <v>4.7706968830263419</v>
      </c>
      <c r="C11" s="74"/>
      <c r="D11" s="27">
        <f t="shared" si="2"/>
        <v>0.5548320474959636</v>
      </c>
      <c r="E11" s="74"/>
    </row>
    <row r="12" spans="1:11" x14ac:dyDescent="0.3">
      <c r="A12" s="1" t="s">
        <v>46</v>
      </c>
      <c r="B12" s="6">
        <f>[2]TrRoad_ene!$Q$69</f>
        <v>2.6775301338209734</v>
      </c>
      <c r="C12" s="74"/>
      <c r="D12" s="27">
        <f t="shared" si="2"/>
        <v>0.31139675456337923</v>
      </c>
      <c r="E12" s="74"/>
    </row>
    <row r="13" spans="1:11" x14ac:dyDescent="0.3">
      <c r="A13" s="1" t="s">
        <v>40</v>
      </c>
      <c r="B13" s="6">
        <f>[2]TrRoad_ene!$Q$70</f>
        <v>48.703890547125425</v>
      </c>
      <c r="C13" s="74"/>
      <c r="D13" s="27">
        <f t="shared" si="2"/>
        <v>5.6642624706306881</v>
      </c>
      <c r="E13" s="74"/>
    </row>
    <row r="14" spans="1:11" x14ac:dyDescent="0.3">
      <c r="A14" s="57" t="s">
        <v>63</v>
      </c>
      <c r="B14" s="57"/>
      <c r="C14" s="57"/>
      <c r="D14" s="57"/>
      <c r="E14" s="57"/>
    </row>
    <row r="15" spans="1:11" x14ac:dyDescent="0.3">
      <c r="A15" s="38" t="s">
        <v>145</v>
      </c>
      <c r="B15" s="6">
        <f>[2]TrRail_emi!$Q$2</f>
        <v>0</v>
      </c>
      <c r="C15" s="1" t="s">
        <v>62</v>
      </c>
      <c r="D15" s="28">
        <f>B15*1000/11630</f>
        <v>0</v>
      </c>
      <c r="E15" s="1" t="s">
        <v>47</v>
      </c>
    </row>
    <row r="16" spans="1:11" x14ac:dyDescent="0.3">
      <c r="A16" s="1" t="s">
        <v>48</v>
      </c>
      <c r="B16" s="6">
        <f>AVERAGE([2]TrRoad_emi!$Q$48:$Q$49)</f>
        <v>2.8096959280174945</v>
      </c>
      <c r="C16" s="1" t="s">
        <v>62</v>
      </c>
      <c r="D16" s="28">
        <f>B16*1000/11630</f>
        <v>0.2415903635440666</v>
      </c>
      <c r="E16" s="1" t="s">
        <v>47</v>
      </c>
    </row>
    <row r="17" spans="1:5" x14ac:dyDescent="0.3">
      <c r="A17" s="1" t="s">
        <v>65</v>
      </c>
      <c r="B17" s="6">
        <v>0.09</v>
      </c>
      <c r="C17" s="1" t="s">
        <v>47</v>
      </c>
      <c r="D17" s="2">
        <f>B17</f>
        <v>0.09</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79.903955960293985</v>
      </c>
      <c r="C20" s="68" t="s">
        <v>59</v>
      </c>
      <c r="D20" s="3" t="s">
        <v>7</v>
      </c>
      <c r="E20" s="1"/>
    </row>
    <row r="21" spans="1:5" x14ac:dyDescent="0.3">
      <c r="A21" s="1" t="s">
        <v>51</v>
      </c>
      <c r="B21" s="6">
        <f>[2]TrRail_act!$Q$63</f>
        <v>99.879944950367474</v>
      </c>
      <c r="C21" s="69"/>
      <c r="D21" s="3" t="s">
        <v>7</v>
      </c>
      <c r="E21" s="1"/>
    </row>
    <row r="22" spans="1:5" x14ac:dyDescent="0.3">
      <c r="A22" s="1" t="s">
        <v>52</v>
      </c>
      <c r="B22" s="6"/>
      <c r="C22" s="70"/>
      <c r="D22" s="3" t="s">
        <v>7</v>
      </c>
      <c r="E22" s="1"/>
    </row>
    <row r="23" spans="1:5" x14ac:dyDescent="0.3">
      <c r="A23" s="65" t="s">
        <v>53</v>
      </c>
      <c r="B23" s="66"/>
      <c r="C23" s="66"/>
      <c r="D23" s="66"/>
      <c r="E23" s="67"/>
    </row>
    <row r="24" spans="1:5" x14ac:dyDescent="0.3">
      <c r="A24" s="1" t="s">
        <v>50</v>
      </c>
      <c r="B24" s="6">
        <f>[2]TrRail_ene!$Q$31</f>
        <v>29.425727622975629</v>
      </c>
      <c r="C24" s="71" t="s">
        <v>60</v>
      </c>
      <c r="D24" s="2">
        <f>B24*11.63/100</f>
        <v>3.4222121225520659</v>
      </c>
      <c r="E24" s="71" t="s">
        <v>41</v>
      </c>
    </row>
    <row r="25" spans="1:5" x14ac:dyDescent="0.3">
      <c r="A25" s="1" t="s">
        <v>144</v>
      </c>
      <c r="B25" s="6"/>
      <c r="C25" s="72"/>
      <c r="D25" s="27">
        <f t="shared" ref="D25:D27" si="3">B25*11.63/100</f>
        <v>0</v>
      </c>
      <c r="E25" s="72"/>
    </row>
    <row r="26" spans="1:5" x14ac:dyDescent="0.3">
      <c r="A26" s="1" t="s">
        <v>51</v>
      </c>
      <c r="B26" s="6">
        <f>[2]TrRail_ene!$Q$34</f>
        <v>97.004434440667055</v>
      </c>
      <c r="C26" s="72"/>
      <c r="D26" s="27">
        <f t="shared" si="3"/>
        <v>11.281615725449578</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0.09</v>
      </c>
      <c r="C29" s="1" t="s">
        <v>47</v>
      </c>
      <c r="D29" s="2">
        <f>B29</f>
        <v>0.09</v>
      </c>
      <c r="E29" s="1" t="s">
        <v>47</v>
      </c>
    </row>
    <row r="30" spans="1:5" x14ac:dyDescent="0.3">
      <c r="A30" s="62" t="s">
        <v>54</v>
      </c>
      <c r="B30" s="63"/>
      <c r="C30" s="63"/>
      <c r="D30" s="63"/>
      <c r="E30" s="64"/>
    </row>
    <row r="31" spans="1:5" x14ac:dyDescent="0.3">
      <c r="A31" s="1" t="s">
        <v>68</v>
      </c>
      <c r="B31" s="6">
        <f>[2]TrAvia_act!$Q$69</f>
        <v>122.90630058149991</v>
      </c>
      <c r="C31" s="1" t="s">
        <v>67</v>
      </c>
      <c r="D31" s="3" t="s">
        <v>7</v>
      </c>
      <c r="E31" s="1"/>
    </row>
    <row r="32" spans="1:5" x14ac:dyDescent="0.3">
      <c r="A32" s="1" t="s">
        <v>72</v>
      </c>
      <c r="B32" s="6">
        <f>[2]TrAvia_ene!$Q$37</f>
        <v>2540.4702580689686</v>
      </c>
      <c r="C32" s="1" t="s">
        <v>69</v>
      </c>
      <c r="D32" s="28">
        <f>B32*11.63*10^(-3)/B31</f>
        <v>0.24039181849550667</v>
      </c>
      <c r="E32" s="1" t="s">
        <v>55</v>
      </c>
    </row>
    <row r="33" spans="1:5" x14ac:dyDescent="0.3">
      <c r="A33" s="1" t="s">
        <v>71</v>
      </c>
      <c r="B33" s="6">
        <f>[2]TrAvia_emi!$Q$41</f>
        <v>7647.6009901913912</v>
      </c>
      <c r="C33" s="1" t="s">
        <v>70</v>
      </c>
      <c r="D33" s="28">
        <f>B33/B31</f>
        <v>62.223018299376939</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opLeftCell="A10" zoomScale="70" zoomScaleNormal="70" workbookViewId="0">
      <selection activeCell="C29" sqref="C29:C31"/>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0.09</v>
      </c>
    </row>
    <row r="4" spans="1:8" x14ac:dyDescent="0.3">
      <c r="A4" t="s">
        <v>87</v>
      </c>
      <c r="B4">
        <f>'Passenger transport data'!D13</f>
        <v>5.6642624706306881</v>
      </c>
      <c r="C4">
        <f>Tabla4[[#This Row],[ENERGY CONSUMPTION PER VEHICLE]]*H7</f>
        <v>1.3691992274931084</v>
      </c>
      <c r="G4" t="s">
        <v>165</v>
      </c>
      <c r="H4">
        <f>BUS!C16</f>
        <v>0.24333619948409285</v>
      </c>
    </row>
    <row r="5" spans="1:8" x14ac:dyDescent="0.3">
      <c r="A5" t="s">
        <v>179</v>
      </c>
      <c r="B5">
        <f>B4</f>
        <v>5.6642624706306881</v>
      </c>
      <c r="C5">
        <f>Tabla4[[#This Row],[ENERGY CONSUMPTION PER VEHICLE]]*H3</f>
        <v>0.50978362235676189</v>
      </c>
      <c r="G5" t="s">
        <v>180</v>
      </c>
      <c r="H5">
        <f>'Passenger transport data'!D15</f>
        <v>0</v>
      </c>
    </row>
    <row r="6" spans="1:8" x14ac:dyDescent="0.3">
      <c r="A6" t="s">
        <v>181</v>
      </c>
      <c r="B6">
        <f>B4</f>
        <v>5.6642624706306881</v>
      </c>
      <c r="C6">
        <f>Tabla4[[#This Row],[ENERGY CONSUMPTION PER VEHICLE]]*H4</f>
        <v>1.3783201024836498</v>
      </c>
      <c r="G6" t="s">
        <v>182</v>
      </c>
      <c r="H6">
        <f>BUS!E5</f>
        <v>0.22800000000000001</v>
      </c>
    </row>
    <row r="7" spans="1:8" x14ac:dyDescent="0.3">
      <c r="A7" t="s">
        <v>191</v>
      </c>
      <c r="C7">
        <f>Tabla4[[#This Row],[ENERGY CONSUMPTION PER VEHICLE]]*H8</f>
        <v>0</v>
      </c>
      <c r="G7" t="s">
        <v>184</v>
      </c>
      <c r="H7">
        <f>BUS!E2</f>
        <v>0.24172595012897677</v>
      </c>
    </row>
    <row r="8" spans="1:8" x14ac:dyDescent="0.3">
      <c r="A8" t="s">
        <v>183</v>
      </c>
      <c r="B8">
        <f>B4</f>
        <v>5.6642624706306881</v>
      </c>
      <c r="C8">
        <f>Tabla4[[#This Row],[ENERGY CONSUMPTION PER VEHICLE]]*H6</f>
        <v>1.2914518433037969</v>
      </c>
      <c r="G8" t="s">
        <v>192</v>
      </c>
      <c r="H8">
        <f>0.5*H3+0.5*H4</f>
        <v>0.16666809974204644</v>
      </c>
    </row>
    <row r="9" spans="1:8" x14ac:dyDescent="0.3">
      <c r="A9" t="s">
        <v>185</v>
      </c>
      <c r="B9">
        <f>'Passenger transport data'!D26</f>
        <v>11.281615725449578</v>
      </c>
      <c r="C9">
        <f>Tabla4[[#This Row],[ENERGY CONSUMPTION PER VEHICLE]]*H3</f>
        <v>1.015345415290462</v>
      </c>
    </row>
    <row r="10" spans="1:8" x14ac:dyDescent="0.3">
      <c r="A10" t="s">
        <v>146</v>
      </c>
      <c r="B10">
        <f>'Passenger transport data'!D25</f>
        <v>0</v>
      </c>
      <c r="C10">
        <f>Tabla4[[#This Row],[ENERGY CONSUMPTION PER VEHICLE]]*H5</f>
        <v>0</v>
      </c>
    </row>
    <row r="11" spans="1:8" x14ac:dyDescent="0.3">
      <c r="A11" t="s">
        <v>103</v>
      </c>
      <c r="B11">
        <f>'Passenger transport data'!D27</f>
        <v>0</v>
      </c>
      <c r="C11">
        <f>Tabla4[[#This Row],[ENERGY CONSUMPTION PER VEHICLE]]*H3</f>
        <v>0</v>
      </c>
    </row>
    <row r="12" spans="1:8" x14ac:dyDescent="0.3">
      <c r="A12" t="s">
        <v>186</v>
      </c>
      <c r="B12">
        <f>'Passenger transport data'!D24</f>
        <v>3.4222121225520659</v>
      </c>
      <c r="C12">
        <f>Tabla4[[#This Row],[ENERGY CONSUMPTION PER VEHICLE]]*H3</f>
        <v>0.30799909102968592</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5.7332879240821475</v>
      </c>
      <c r="B17">
        <f>B4/Tabla5[[#This Row],[LEVEL OF OCCUPANCY]]</f>
        <v>0.98796058136875975</v>
      </c>
      <c r="C17">
        <f>C4/Tabla5[[#This Row],[LEVEL OF OCCUPANCY]]</f>
        <v>0.23881571022133971</v>
      </c>
    </row>
    <row r="18" spans="1:3" x14ac:dyDescent="0.3">
      <c r="A18" s="37">
        <f>'Passenger transport data'!I5</f>
        <v>18.029207308434426</v>
      </c>
      <c r="B18">
        <f>B4/Tabla5[[#This Row],[LEVEL OF OCCUPANCY]]</f>
        <v>0.31417146487526559</v>
      </c>
      <c r="C18">
        <f>C4/Tabla5[[#This Row],[LEVEL OF OCCUPANCY]]</f>
        <v>7.5943395850386022E-2</v>
      </c>
    </row>
    <row r="19" spans="1:3" x14ac:dyDescent="0.3">
      <c r="A19" s="37">
        <f>'Passenger transport data'!J5</f>
        <v>30.325126692786704</v>
      </c>
      <c r="B19">
        <f>B4/Tabla5[[#This Row],[LEVEL OF OCCUPANCY]]</f>
        <v>0.18678446187590109</v>
      </c>
      <c r="C19">
        <f>C4/Tabla5[[#This Row],[LEVEL OF OCCUPANCY]]</f>
        <v>4.5150651516281823E-2</v>
      </c>
    </row>
    <row r="20" spans="1:3" x14ac:dyDescent="0.3">
      <c r="A20" t="s">
        <v>179</v>
      </c>
    </row>
    <row r="21" spans="1:3" x14ac:dyDescent="0.3">
      <c r="A21" s="37">
        <f>A17</f>
        <v>5.7332879240821475</v>
      </c>
      <c r="B21">
        <f>B5/Tabla5[[#This Row],[LEVEL OF OCCUPANCY]]</f>
        <v>0.98796058136875975</v>
      </c>
      <c r="C21">
        <f>C5/Tabla5[[#This Row],[LEVEL OF OCCUPANCY]]</f>
        <v>8.8916452323188372E-2</v>
      </c>
    </row>
    <row r="22" spans="1:3" x14ac:dyDescent="0.3">
      <c r="A22" s="37">
        <f>A18</f>
        <v>18.029207308434426</v>
      </c>
      <c r="B22">
        <f>B5/Tabla5[[#This Row],[LEVEL OF OCCUPANCY]]</f>
        <v>0.31417146487526559</v>
      </c>
      <c r="C22">
        <f>C5/Tabla5[[#This Row],[LEVEL OF OCCUPANCY]]</f>
        <v>2.8275431838773901E-2</v>
      </c>
    </row>
    <row r="23" spans="1:3" x14ac:dyDescent="0.3">
      <c r="A23" s="37">
        <f>A19</f>
        <v>30.325126692786704</v>
      </c>
      <c r="B23">
        <f>B5/Tabla5[[#This Row],[LEVEL OF OCCUPANCY]]</f>
        <v>0.18678446187590109</v>
      </c>
      <c r="C23">
        <f>C5/Tabla5[[#This Row],[LEVEL OF OCCUPANCY]]</f>
        <v>1.6810601568831095E-2</v>
      </c>
    </row>
    <row r="24" spans="1:3" x14ac:dyDescent="0.3">
      <c r="A24" t="s">
        <v>181</v>
      </c>
    </row>
    <row r="25" spans="1:3" x14ac:dyDescent="0.3">
      <c r="A25" s="37">
        <f>A17</f>
        <v>5.7332879240821475</v>
      </c>
      <c r="B25">
        <f>B6/Tabla5[[#This Row],[LEVEL OF OCCUPANCY]]</f>
        <v>0.98796058136875975</v>
      </c>
      <c r="C25">
        <f>C6/Tabla5[[#This Row],[LEVEL OF OCCUPANCY]]</f>
        <v>0.24040657311036887</v>
      </c>
    </row>
    <row r="26" spans="1:3" x14ac:dyDescent="0.3">
      <c r="A26" s="37">
        <f>A18</f>
        <v>18.029207308434426</v>
      </c>
      <c r="B26">
        <f>B6/Tabla5[[#This Row],[LEVEL OF OCCUPANCY]]</f>
        <v>0.31417146487526559</v>
      </c>
      <c r="C26">
        <f>C6/Tabla5[[#This Row],[LEVEL OF OCCUPANCY]]</f>
        <v>7.6449290249097301E-2</v>
      </c>
    </row>
    <row r="27" spans="1:3" x14ac:dyDescent="0.3">
      <c r="A27" s="37">
        <f>A19</f>
        <v>30.325126692786704</v>
      </c>
      <c r="B27">
        <f>B6/Tabla5[[#This Row],[LEVEL OF OCCUPANCY]]</f>
        <v>0.18678446187590109</v>
      </c>
      <c r="C27">
        <f>C6/Tabla5[[#This Row],[LEVEL OF OCCUPANCY]]</f>
        <v>4.54514210755632E-2</v>
      </c>
    </row>
    <row r="28" spans="1:3" x14ac:dyDescent="0.3">
      <c r="A28" s="37" t="s">
        <v>183</v>
      </c>
    </row>
    <row r="29" spans="1:3" x14ac:dyDescent="0.3">
      <c r="A29" s="37">
        <f>A17</f>
        <v>5.7332879240821475</v>
      </c>
      <c r="B29">
        <f>B8/Tabla5[[#This Row],[LEVEL OF OCCUPANCY]]</f>
        <v>0.98796058136875975</v>
      </c>
      <c r="C29">
        <f>C8/Tabla5[[#This Row],[LEVEL OF OCCUPANCY]]</f>
        <v>0.22525501255207722</v>
      </c>
    </row>
    <row r="30" spans="1:3" x14ac:dyDescent="0.3">
      <c r="A30" s="37">
        <f>A18</f>
        <v>18.029207308434426</v>
      </c>
      <c r="B30">
        <f>B8/Tabla5[[#This Row],[LEVEL OF OCCUPANCY]]</f>
        <v>0.31417146487526559</v>
      </c>
      <c r="C30">
        <f>C8/Tabla5[[#This Row],[LEVEL OF OCCUPANCY]]</f>
        <v>7.1631093991560563E-2</v>
      </c>
    </row>
    <row r="31" spans="1:3" x14ac:dyDescent="0.3">
      <c r="A31" s="37">
        <f>A19</f>
        <v>30.325126692786704</v>
      </c>
      <c r="B31">
        <f>B8/Tabla5[[#This Row],[LEVEL OF OCCUPANCY]]</f>
        <v>0.18678446187590109</v>
      </c>
      <c r="C31">
        <f>C8/Tabla5[[#This Row],[LEVEL OF OCCUPANCY]]</f>
        <v>4.2586857307705443E-2</v>
      </c>
    </row>
    <row r="32" spans="1:3" x14ac:dyDescent="0.3">
      <c r="A32" s="37" t="s">
        <v>191</v>
      </c>
    </row>
    <row r="33" spans="1:3" x14ac:dyDescent="0.3">
      <c r="A33" s="37">
        <f>A17</f>
        <v>5.7332879240821475</v>
      </c>
      <c r="B33">
        <f>B7/Tabla5[[#This Row],[LEVEL OF OCCUPANCY]]</f>
        <v>0</v>
      </c>
      <c r="C33">
        <f>C7/Tabla5[[#This Row],[LEVEL OF OCCUPANCY]]</f>
        <v>0</v>
      </c>
    </row>
    <row r="34" spans="1:3" x14ac:dyDescent="0.3">
      <c r="A34" s="37">
        <f>A18</f>
        <v>18.029207308434426</v>
      </c>
      <c r="B34">
        <f>B7/Tabla5[[#This Row],[LEVEL OF OCCUPANCY]]</f>
        <v>0</v>
      </c>
      <c r="C34">
        <f>C7/Tabla5[[#This Row],[LEVEL OF OCCUPANCY]]</f>
        <v>0</v>
      </c>
    </row>
    <row r="35" spans="1:3" x14ac:dyDescent="0.3">
      <c r="A35" s="37">
        <f>A19</f>
        <v>30.325126692786704</v>
      </c>
      <c r="B35">
        <f>B7/Tabla5[[#This Row],[LEVEL OF OCCUPANCY]]</f>
        <v>0</v>
      </c>
      <c r="C35">
        <f>C7/Tabla5[[#This Row],[LEVEL OF OCCUPANCY]]</f>
        <v>0</v>
      </c>
    </row>
    <row r="36" spans="1:3" x14ac:dyDescent="0.3">
      <c r="A36" t="s">
        <v>185</v>
      </c>
    </row>
    <row r="37" spans="1:3" x14ac:dyDescent="0.3">
      <c r="A37" s="37">
        <f>'Passenger transport data'!H7</f>
        <v>31.761822494216858</v>
      </c>
      <c r="B37">
        <f>B9/Tabla5[[#This Row],[LEVEL OF OCCUPANCY]]</f>
        <v>0.35519421870403428</v>
      </c>
      <c r="C37">
        <f>C9/Tabla5[[#This Row],[LEVEL OF OCCUPANCY]]</f>
        <v>3.1967479683363081E-2</v>
      </c>
    </row>
    <row r="38" spans="1:3" x14ac:dyDescent="0.3">
      <c r="A38" s="37">
        <f>'Passenger transport data'!I7</f>
        <v>99.879944950367474</v>
      </c>
      <c r="B38">
        <f>B9/Tabla5[[#This Row],[LEVEL OF OCCUPANCY]]</f>
        <v>0.1129517615478829</v>
      </c>
      <c r="C38">
        <f>C9/Tabla5[[#This Row],[LEVEL OF OCCUPANCY]]</f>
        <v>1.0165658539309461E-2</v>
      </c>
    </row>
    <row r="39" spans="1:3" x14ac:dyDescent="0.3">
      <c r="A39" s="37">
        <f>'Passenger transport data'!J7</f>
        <v>167.99806740651809</v>
      </c>
      <c r="B39">
        <f>B9/Tabla5[[#This Row],[LEVEL OF OCCUPANCY]]</f>
        <v>6.715324705581624E-2</v>
      </c>
      <c r="C39">
        <f>C9/Tabla5[[#This Row],[LEVEL OF OCCUPANCY]]</f>
        <v>6.0437922350234609E-3</v>
      </c>
    </row>
    <row r="40" spans="1:3" x14ac:dyDescent="0.3">
      <c r="A40" t="s">
        <v>146</v>
      </c>
    </row>
    <row r="41" spans="1:3" x14ac:dyDescent="0.3">
      <c r="A41" s="37">
        <f>A37</f>
        <v>31.761822494216858</v>
      </c>
      <c r="B41">
        <f>B10/Tabla5[[#This Row],[LEVEL OF OCCUPANCY]]</f>
        <v>0</v>
      </c>
      <c r="C41">
        <f>C10/Tabla5[[#This Row],[LEVEL OF OCCUPANCY]]</f>
        <v>0</v>
      </c>
    </row>
    <row r="42" spans="1:3" x14ac:dyDescent="0.3">
      <c r="A42" s="37">
        <f>A38</f>
        <v>99.879944950367474</v>
      </c>
      <c r="B42">
        <f>B10/Tabla5[[#This Row],[LEVEL OF OCCUPANCY]]</f>
        <v>0</v>
      </c>
      <c r="C42">
        <f>C10/Tabla5[[#This Row],[LEVEL OF OCCUPANCY]]</f>
        <v>0</v>
      </c>
    </row>
    <row r="43" spans="1:3" x14ac:dyDescent="0.3">
      <c r="A43" s="37">
        <f>A39</f>
        <v>167.99806740651809</v>
      </c>
      <c r="B43">
        <f>B10/Tabla5[[#This Row],[LEVEL OF OCCUPANCY]]</f>
        <v>0</v>
      </c>
      <c r="C43">
        <f>C10/Tabla5[[#This Row],[LEVEL OF OCCUPANCY]]</f>
        <v>0</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25.409457995373486</v>
      </c>
      <c r="B49">
        <f>B12/Tabla5[[#This Row],[LEVEL OF OCCUPANCY]]</f>
        <v>0.13468261004131521</v>
      </c>
      <c r="C49">
        <f>C12/Tabla5[[#This Row],[LEVEL OF OCCUPANCY]]</f>
        <v>1.2121434903718368E-2</v>
      </c>
    </row>
    <row r="50" spans="1:3" x14ac:dyDescent="0.3">
      <c r="A50" s="37">
        <f>'Passenger transport data'!I6</f>
        <v>79.903955960293985</v>
      </c>
      <c r="B50">
        <f>B12/Tabla5[[#This Row],[LEVEL OF OCCUPANCY]]</f>
        <v>4.2829069993138229E-2</v>
      </c>
      <c r="C50">
        <f>C12/Tabla5[[#This Row],[LEVEL OF OCCUPANCY]]</f>
        <v>3.8546162993824407E-3</v>
      </c>
    </row>
    <row r="51" spans="1:3" x14ac:dyDescent="0.3">
      <c r="A51" s="37">
        <f>'Passenger transport data'!J6</f>
        <v>134.39845392521448</v>
      </c>
      <c r="B51">
        <f>B12/Tabla5[[#This Row],[LEVEL OF OCCUPANCY]]</f>
        <v>2.546318073313807E-2</v>
      </c>
      <c r="C51">
        <f>C12/Tabla5[[#This Row],[LEVEL OF OCCUPANCY]]</f>
        <v>2.291686265982426E-3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0.2</v>
      </c>
      <c r="E2">
        <f>(Tabla1[[#This Row],[% fuel used for buses]]*C10+C3*((C11+C10)/2)+C4*((C12+C13+C14)/3)+C5*C15+C6*C16)/100</f>
        <v>0.24172595012897677</v>
      </c>
      <c r="F2" t="s">
        <v>47</v>
      </c>
    </row>
    <row r="3" spans="2:6" x14ac:dyDescent="0.3">
      <c r="B3" t="s">
        <v>161</v>
      </c>
      <c r="C3">
        <v>0</v>
      </c>
    </row>
    <row r="4" spans="2:6" x14ac:dyDescent="0.3">
      <c r="B4" t="s">
        <v>162</v>
      </c>
      <c r="C4">
        <v>8.5</v>
      </c>
      <c r="E4" t="s">
        <v>163</v>
      </c>
    </row>
    <row r="5" spans="2:6" x14ac:dyDescent="0.3">
      <c r="B5" t="s">
        <v>164</v>
      </c>
      <c r="C5">
        <v>0</v>
      </c>
      <c r="E5">
        <f>(C12+C13+C14)/3</f>
        <v>0.22800000000000001</v>
      </c>
      <c r="F5" t="s">
        <v>47</v>
      </c>
    </row>
    <row r="6" spans="2:6" x14ac:dyDescent="0.3">
      <c r="B6" t="s">
        <v>165</v>
      </c>
      <c r="C6">
        <v>91.3</v>
      </c>
    </row>
    <row r="9" spans="2:6" x14ac:dyDescent="0.3">
      <c r="B9" t="s">
        <v>166</v>
      </c>
      <c r="C9" t="s">
        <v>167</v>
      </c>
    </row>
    <row r="10" spans="2:6" x14ac:dyDescent="0.3">
      <c r="B10" t="s">
        <v>168</v>
      </c>
      <c r="C10">
        <f>'Passenger transport data'!D17</f>
        <v>0.09</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2.79*1000/11630</f>
        <v>0.23989681857265693</v>
      </c>
    </row>
    <row r="16" spans="2:6" x14ac:dyDescent="0.3">
      <c r="B16" t="s">
        <v>165</v>
      </c>
      <c r="C16">
        <f>2.83*1000/11630</f>
        <v>0.24333619948409285</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239.89681857265694</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241.59036354406661</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243.33619948409284</v>
      </c>
      <c r="D8" s="22" t="s">
        <v>108</v>
      </c>
      <c r="E8" s="22" t="s">
        <v>147</v>
      </c>
      <c r="F8" s="22">
        <f>BUS!C16*1000</f>
        <v>243.33619948409284</v>
      </c>
      <c r="G8" s="22" t="s">
        <v>108</v>
      </c>
      <c r="H8" s="21" t="s">
        <v>131</v>
      </c>
      <c r="I8" s="22">
        <f>BUS!C10*1000</f>
        <v>90</v>
      </c>
      <c r="J8" s="22" t="s">
        <v>108</v>
      </c>
      <c r="K8" s="43">
        <f>BUS!E2*1000</f>
        <v>241.72595012897676</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5.6642624706306881</v>
      </c>
      <c r="G11" s="82"/>
      <c r="H11" s="30">
        <f>F11/A11</f>
        <v>5.6642624706306881</v>
      </c>
      <c r="I11" s="1">
        <v>0</v>
      </c>
      <c r="J11" s="1">
        <f>I$8*F11</f>
        <v>509.78362235676195</v>
      </c>
      <c r="K11" s="30">
        <f>J11/A11</f>
        <v>509.78362235676195</v>
      </c>
    </row>
    <row r="12" spans="1:13" x14ac:dyDescent="0.3">
      <c r="A12" s="18">
        <f>'Passenger transport data'!H5</f>
        <v>5.7332879240821475</v>
      </c>
      <c r="B12" s="1">
        <f>C$7*A12</f>
        <v>458.66303392657181</v>
      </c>
      <c r="C12" s="82">
        <f>I$4*B12/100</f>
        <v>3.8986357883758607E-2</v>
      </c>
      <c r="D12" s="82"/>
      <c r="E12" s="82"/>
      <c r="F12" s="82">
        <f>F$11+C12</f>
        <v>5.7032488285144467</v>
      </c>
      <c r="G12" s="82"/>
      <c r="H12" s="27">
        <f t="shared" ref="H12:H14" si="0">F12/A12</f>
        <v>0.99476058136875978</v>
      </c>
      <c r="I12" s="1">
        <f>I$6*B12</f>
        <v>12.842564949944009</v>
      </c>
      <c r="J12" s="1">
        <f>F12*(I12+J$11)</f>
        <v>2980.6671905079429</v>
      </c>
      <c r="K12" s="27">
        <f>J12/A12</f>
        <v>519.88792992375716</v>
      </c>
    </row>
    <row r="13" spans="1:13" x14ac:dyDescent="0.3">
      <c r="A13" s="18">
        <f>'Passenger transport data'!I5</f>
        <v>18.029207308434426</v>
      </c>
      <c r="B13" s="1">
        <f t="shared" ref="B13:B14" si="1">C$7*A13</f>
        <v>1442.336584674754</v>
      </c>
      <c r="C13" s="82">
        <f t="shared" ref="C13:C14" si="2">I$4*B13/100</f>
        <v>0.1225986096973541</v>
      </c>
      <c r="D13" s="82"/>
      <c r="E13" s="82"/>
      <c r="F13" s="82">
        <f t="shared" ref="F13:F14" si="3">F$11+C13</f>
        <v>5.786861080328042</v>
      </c>
      <c r="G13" s="82"/>
      <c r="H13" s="27">
        <f t="shared" si="0"/>
        <v>0.32097146487526557</v>
      </c>
      <c r="I13" s="1">
        <f t="shared" ref="I13:I14" si="4">I$6*B13</f>
        <v>40.385424370893105</v>
      </c>
      <c r="J13" s="1">
        <f>F13*(I13+J$11)</f>
        <v>3183.7518441094471</v>
      </c>
      <c r="K13" s="27">
        <f>J13/A13</f>
        <v>176.58856485720389</v>
      </c>
    </row>
    <row r="14" spans="1:13" x14ac:dyDescent="0.3">
      <c r="A14" s="18">
        <f>'Passenger transport data'!J5</f>
        <v>30.325126692786704</v>
      </c>
      <c r="B14" s="1">
        <f t="shared" si="1"/>
        <v>2426.0101354229364</v>
      </c>
      <c r="C14" s="82">
        <f t="shared" si="2"/>
        <v>0.20621086151094961</v>
      </c>
      <c r="D14" s="82"/>
      <c r="E14" s="82"/>
      <c r="F14" s="82">
        <f t="shared" si="3"/>
        <v>5.8704733321416374</v>
      </c>
      <c r="G14" s="82"/>
      <c r="H14" s="27">
        <f t="shared" si="0"/>
        <v>0.19358446187590106</v>
      </c>
      <c r="I14" s="1">
        <f t="shared" si="4"/>
        <v>67.928283791842219</v>
      </c>
      <c r="J14" s="1">
        <f>F14*(I14+J$11)</f>
        <v>3391.4423387060933</v>
      </c>
      <c r="K14" s="27">
        <f>J14/A14</f>
        <v>111.8360484710786</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5.6642624706306881</v>
      </c>
      <c r="G16" s="82"/>
      <c r="H16" s="30">
        <f>F16/A16</f>
        <v>5.6642624706306881</v>
      </c>
      <c r="I16" s="1">
        <v>0</v>
      </c>
      <c r="J16" s="1">
        <f>F16*(0.5*C$8+0.5*I$8)</f>
        <v>944.05186242020579</v>
      </c>
      <c r="K16" s="30">
        <f>J16/A16</f>
        <v>944.05186242020579</v>
      </c>
    </row>
    <row r="17" spans="1:11" x14ac:dyDescent="0.3">
      <c r="A17" s="18">
        <f>'Passenger transport data'!H5</f>
        <v>5.7332879240821475</v>
      </c>
      <c r="B17" s="1">
        <f>C$7*A17</f>
        <v>458.66303392657181</v>
      </c>
      <c r="C17" s="76">
        <f>B17*(0.5*I$4+0.5*C$5)/100</f>
        <v>0.11122578572719366</v>
      </c>
      <c r="D17" s="77"/>
      <c r="E17" s="78"/>
      <c r="F17" s="76">
        <f>F$16+C17</f>
        <v>5.7754882563578818</v>
      </c>
      <c r="G17" s="78"/>
      <c r="H17" s="27">
        <f>F17/A17</f>
        <v>1.0073605813687598</v>
      </c>
      <c r="I17" s="1">
        <f>B17*(0.5*C$6+0.5*I$6)/100</f>
        <v>0.29354434171300597</v>
      </c>
      <c r="J17" s="1">
        <f>F17*(I17+J$16)</f>
        <v>5454.0558066989688</v>
      </c>
      <c r="K17" s="27">
        <f>J17/A17</f>
        <v>951.29633796860435</v>
      </c>
    </row>
    <row r="18" spans="1:11" x14ac:dyDescent="0.3">
      <c r="A18" s="18">
        <f>'Passenger transport data'!I5</f>
        <v>18.029207308434426</v>
      </c>
      <c r="B18" s="1">
        <f t="shared" ref="B18:B19" si="5">C$7*A18</f>
        <v>1442.336584674754</v>
      </c>
      <c r="C18" s="76">
        <f t="shared" ref="C18:C19" si="6">B18*(0.5*I$4+0.5*C$5)/100</f>
        <v>0.34976662178362788</v>
      </c>
      <c r="D18" s="77"/>
      <c r="E18" s="78"/>
      <c r="F18" s="76">
        <f t="shared" ref="F18:F19" si="7">F$16+C18</f>
        <v>6.014029092414316</v>
      </c>
      <c r="G18" s="78"/>
      <c r="H18" s="27">
        <f t="shared" ref="H18:H19" si="8">F18/A18</f>
        <v>0.33357146487526562</v>
      </c>
      <c r="I18" s="1">
        <f t="shared" ref="I18:I19" si="9">B18*(0.5*C$6+0.5*I$6)/100</f>
        <v>0.9230954141918426</v>
      </c>
      <c r="J18" s="1">
        <f t="shared" ref="J18:J19" si="10">F18*(I18+J$16)</f>
        <v>5683.1068880190587</v>
      </c>
      <c r="K18" s="27">
        <f t="shared" ref="K18:K19" si="11">J18/A18</f>
        <v>315.21668095526235</v>
      </c>
    </row>
    <row r="19" spans="1:11" x14ac:dyDescent="0.3">
      <c r="A19" s="18">
        <f>'Passenger transport data'!J5</f>
        <v>30.325126692786704</v>
      </c>
      <c r="B19" s="1">
        <f t="shared" si="5"/>
        <v>2426.0101354229364</v>
      </c>
      <c r="C19" s="76">
        <f t="shared" si="6"/>
        <v>0.58830745784006211</v>
      </c>
      <c r="D19" s="77"/>
      <c r="E19" s="78"/>
      <c r="F19" s="76">
        <f t="shared" si="7"/>
        <v>6.2525699284707503</v>
      </c>
      <c r="G19" s="78"/>
      <c r="H19" s="27">
        <f t="shared" si="8"/>
        <v>0.20618446187590109</v>
      </c>
      <c r="I19" s="1">
        <f t="shared" si="9"/>
        <v>1.5526464866706795</v>
      </c>
      <c r="J19" s="1">
        <f t="shared" si="10"/>
        <v>5912.458316617488</v>
      </c>
      <c r="K19" s="27">
        <f t="shared" si="11"/>
        <v>194.96895681639006</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5.6642624706306881</v>
      </c>
      <c r="G21" s="82"/>
      <c r="H21" s="30">
        <f>F21/A21</f>
        <v>5.6642624706306881</v>
      </c>
      <c r="I21" s="1">
        <v>0</v>
      </c>
      <c r="J21" s="1">
        <f>F21*K$6</f>
        <v>1291.451843303797</v>
      </c>
      <c r="K21" s="30">
        <f>J21/A21</f>
        <v>1291.451843303797</v>
      </c>
    </row>
    <row r="22" spans="1:11" x14ac:dyDescent="0.3">
      <c r="A22" s="18">
        <f>'Passenger transport data'!H5</f>
        <v>5.7332879240821475</v>
      </c>
      <c r="B22" s="1">
        <f>C$7*A22</f>
        <v>458.66303392657181</v>
      </c>
      <c r="C22" s="76">
        <f>B22*C$5/100</f>
        <v>0.18346521357062873</v>
      </c>
      <c r="D22" s="77"/>
      <c r="E22" s="78"/>
      <c r="F22" s="79">
        <f>F$21+C22</f>
        <v>5.8477276842013168</v>
      </c>
      <c r="G22" s="80"/>
      <c r="H22" s="27">
        <f t="shared" ref="H22:H24" si="12">F22/A22</f>
        <v>1.0199605813687598</v>
      </c>
      <c r="I22" s="1">
        <f>C$6*B22</f>
        <v>45.866303392657187</v>
      </c>
      <c r="J22" s="1">
        <f>F22*(I22+J$21)</f>
        <v>7820.2723490216531</v>
      </c>
      <c r="K22" s="27">
        <f t="shared" ref="K22:K24" si="13">J22/A22</f>
        <v>1364.0117943795078</v>
      </c>
    </row>
    <row r="23" spans="1:11" x14ac:dyDescent="0.3">
      <c r="A23" s="18">
        <f>'Passenger transport data'!I5</f>
        <v>18.029207308434426</v>
      </c>
      <c r="B23" s="1">
        <f t="shared" ref="B23:B24" si="14">C$7*A23</f>
        <v>1442.336584674754</v>
      </c>
      <c r="C23" s="76">
        <f t="shared" ref="C23:C24" si="15">B23*C$5/100</f>
        <v>0.57693463386990163</v>
      </c>
      <c r="D23" s="77"/>
      <c r="E23" s="78"/>
      <c r="F23" s="76">
        <f>F$21+C23</f>
        <v>6.2411971045005901</v>
      </c>
      <c r="G23" s="78"/>
      <c r="H23" s="27">
        <f t="shared" si="12"/>
        <v>0.34617146487526562</v>
      </c>
      <c r="I23" s="1">
        <f t="shared" ref="I23:I24" si="16">C$6*B23</f>
        <v>144.23365846747541</v>
      </c>
      <c r="J23" s="1">
        <f t="shared" ref="J23:J24" si="17">F23*(I23+J$21)</f>
        <v>8960.3961966283423</v>
      </c>
      <c r="K23" s="27">
        <f t="shared" si="13"/>
        <v>496.99335324834215</v>
      </c>
    </row>
    <row r="24" spans="1:11" x14ac:dyDescent="0.3">
      <c r="A24" s="18">
        <f>'Passenger transport data'!J5</f>
        <v>30.325126692786704</v>
      </c>
      <c r="B24" s="1">
        <f t="shared" si="14"/>
        <v>2426.0101354229364</v>
      </c>
      <c r="C24" s="76">
        <f t="shared" si="15"/>
        <v>0.97040405416917452</v>
      </c>
      <c r="D24" s="77"/>
      <c r="E24" s="78"/>
      <c r="F24" s="76">
        <f t="shared" ref="F24" si="18">F$21+C24</f>
        <v>6.6346665247998624</v>
      </c>
      <c r="G24" s="78"/>
      <c r="H24" s="27">
        <f t="shared" si="12"/>
        <v>0.21878446187590106</v>
      </c>
      <c r="I24" s="1">
        <f t="shared" si="16"/>
        <v>242.60101354229366</v>
      </c>
      <c r="J24" s="1">
        <f t="shared" si="17"/>
        <v>10177.929136590354</v>
      </c>
      <c r="K24" s="27">
        <f t="shared" si="13"/>
        <v>335.62692877426065</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5.6642624706306881</v>
      </c>
      <c r="G26" s="82"/>
      <c r="H26" s="30">
        <f>F26/A26</f>
        <v>5.6642624706306881</v>
      </c>
      <c r="I26" s="1">
        <v>0</v>
      </c>
      <c r="J26" s="1">
        <f>C$8*F26</f>
        <v>1378.3201024836496</v>
      </c>
      <c r="K26" s="30">
        <f>J26/A26</f>
        <v>1378.3201024836496</v>
      </c>
    </row>
    <row r="27" spans="1:11" x14ac:dyDescent="0.3">
      <c r="A27" s="18">
        <f>'Passenger transport data'!H5</f>
        <v>5.7332879240821475</v>
      </c>
      <c r="B27" s="1">
        <f>C$7*A27</f>
        <v>458.66303392657181</v>
      </c>
      <c r="C27" s="76">
        <f>B27*C$5/100</f>
        <v>0.18346521357062873</v>
      </c>
      <c r="D27" s="77"/>
      <c r="E27" s="78"/>
      <c r="F27" s="79">
        <f>F$26+C27</f>
        <v>5.8477276842013168</v>
      </c>
      <c r="G27" s="80"/>
      <c r="H27" s="27">
        <f>F27/A27</f>
        <v>1.0199605813687598</v>
      </c>
      <c r="I27" s="1">
        <f>C$6*B27</f>
        <v>45.866303392657187</v>
      </c>
      <c r="J27" s="1">
        <f>F27*(I27+J$26)</f>
        <v>8328.2542731060512</v>
      </c>
      <c r="K27" s="27">
        <f>J27/A27</f>
        <v>1452.6139945150821</v>
      </c>
    </row>
    <row r="28" spans="1:11" x14ac:dyDescent="0.3">
      <c r="A28" s="18">
        <f>'Passenger transport data'!I5</f>
        <v>18.029207308434426</v>
      </c>
      <c r="B28" s="1">
        <f t="shared" ref="B28:B29" si="19">C$7*A28</f>
        <v>1442.336584674754</v>
      </c>
      <c r="C28" s="76">
        <f t="shared" ref="C28:C29" si="20">B28*C$5/100</f>
        <v>0.57693463386990163</v>
      </c>
      <c r="D28" s="77"/>
      <c r="E28" s="78"/>
      <c r="F28" s="79">
        <f t="shared" ref="F28:F29" si="21">F$26+C28</f>
        <v>6.2411971045005901</v>
      </c>
      <c r="G28" s="80"/>
      <c r="H28" s="27">
        <f t="shared" ref="H28:H29" si="22">F28/A28</f>
        <v>0.34617146487526562</v>
      </c>
      <c r="I28" s="1">
        <f t="shared" ref="I28:I29" si="23">C$6*B28</f>
        <v>144.23365846747541</v>
      </c>
      <c r="J28" s="1">
        <f t="shared" ref="J28:J29" si="24">F28*(I28+J$26)</f>
        <v>9502.5581242946446</v>
      </c>
      <c r="K28" s="27">
        <f t="shared" ref="K28:K29" si="25">J28/A28</f>
        <v>527.06466577979586</v>
      </c>
    </row>
    <row r="29" spans="1:11" x14ac:dyDescent="0.3">
      <c r="A29" s="18">
        <f>'Passenger transport data'!J5</f>
        <v>30.325126692786704</v>
      </c>
      <c r="B29" s="1">
        <f t="shared" si="19"/>
        <v>2426.0101354229364</v>
      </c>
      <c r="C29" s="76">
        <f t="shared" si="20"/>
        <v>0.97040405416917452</v>
      </c>
      <c r="D29" s="77"/>
      <c r="E29" s="78"/>
      <c r="F29" s="79">
        <f t="shared" si="21"/>
        <v>6.6346665247998624</v>
      </c>
      <c r="G29" s="80"/>
      <c r="H29" s="27">
        <f t="shared" si="22"/>
        <v>0.21878446187590106</v>
      </c>
      <c r="I29" s="1">
        <f t="shared" si="23"/>
        <v>242.60101354229366</v>
      </c>
      <c r="J29" s="1">
        <f t="shared" si="24"/>
        <v>10754.271067838559</v>
      </c>
      <c r="K29" s="27">
        <f t="shared" si="25"/>
        <v>354.63235411302099</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5.6642624706306881</v>
      </c>
      <c r="G31" s="82"/>
      <c r="H31" s="30">
        <f>F31/A31</f>
        <v>5.6642624706306881</v>
      </c>
      <c r="I31" s="1">
        <v>0</v>
      </c>
      <c r="J31" s="1">
        <f>K$8*F31</f>
        <v>1369.1992274931083</v>
      </c>
      <c r="K31" s="30">
        <f>J31/A31</f>
        <v>1369.1992274931083</v>
      </c>
    </row>
    <row r="32" spans="1:11" x14ac:dyDescent="0.3">
      <c r="A32" s="18">
        <f>'Passenger transport data'!H5</f>
        <v>5.7332879240821475</v>
      </c>
      <c r="B32" s="1">
        <f>C$7*A32</f>
        <v>458.66303392657181</v>
      </c>
      <c r="C32" s="76">
        <f>B32*C$5/100</f>
        <v>0.18346521357062873</v>
      </c>
      <c r="D32" s="77"/>
      <c r="E32" s="78"/>
      <c r="F32" s="79">
        <f>F$31+C32</f>
        <v>5.8477276842013168</v>
      </c>
      <c r="G32" s="80"/>
      <c r="H32" s="27">
        <f>F32/A32</f>
        <v>1.0199605813687598</v>
      </c>
      <c r="I32" s="1">
        <f>C$6*B32</f>
        <v>45.866303392657187</v>
      </c>
      <c r="J32" s="1">
        <f>F32*(I32+J$31)</f>
        <v>8274.9178799197234</v>
      </c>
      <c r="K32" s="27">
        <f t="shared" ref="K32:K34" si="26">J32/A32</f>
        <v>1443.3110615571379</v>
      </c>
    </row>
    <row r="33" spans="1:11" x14ac:dyDescent="0.3">
      <c r="A33" s="18">
        <f>'Passenger transport data'!I5</f>
        <v>18.029207308434426</v>
      </c>
      <c r="B33" s="1">
        <f t="shared" ref="B33:B34" si="27">C$7*A33</f>
        <v>1442.336584674754</v>
      </c>
      <c r="C33" s="76">
        <f t="shared" ref="C33:C34" si="28">B33*C$5/100</f>
        <v>0.57693463386990163</v>
      </c>
      <c r="D33" s="77"/>
      <c r="E33" s="78"/>
      <c r="F33" s="79">
        <f t="shared" ref="F33:F34" si="29">F$31+C33</f>
        <v>6.2411971045005901</v>
      </c>
      <c r="G33" s="80"/>
      <c r="H33" s="27">
        <f t="shared" ref="H33:H34" si="30">F33/A33</f>
        <v>0.34617146487526562</v>
      </c>
      <c r="I33" s="1">
        <f t="shared" ref="I33:I34" si="31">C$6*B33</f>
        <v>144.23365846747541</v>
      </c>
      <c r="J33" s="1">
        <f t="shared" ref="J33:J34" si="32">F33*(I33+J$31)</f>
        <v>9445.6329457131669</v>
      </c>
      <c r="K33" s="27">
        <f t="shared" si="26"/>
        <v>523.90727912337604</v>
      </c>
    </row>
    <row r="34" spans="1:11" x14ac:dyDescent="0.3">
      <c r="A34" s="18">
        <f>'Passenger transport data'!J5</f>
        <v>30.325126692786704</v>
      </c>
      <c r="B34" s="1">
        <f t="shared" si="27"/>
        <v>2426.0101354229364</v>
      </c>
      <c r="C34" s="76">
        <f t="shared" si="28"/>
        <v>0.97040405416917452</v>
      </c>
      <c r="D34" s="77"/>
      <c r="E34" s="78"/>
      <c r="F34" s="79">
        <f t="shared" si="29"/>
        <v>6.6346665247998624</v>
      </c>
      <c r="G34" s="80"/>
      <c r="H34" s="27">
        <f t="shared" si="30"/>
        <v>0.21878446187590106</v>
      </c>
      <c r="I34" s="1">
        <f t="shared" si="31"/>
        <v>242.60101354229366</v>
      </c>
      <c r="J34" s="1">
        <f t="shared" si="32"/>
        <v>10693.757103861932</v>
      </c>
      <c r="K34" s="27">
        <f t="shared" si="26"/>
        <v>352.63684838637806</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opLeftCell="H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241.59036354406661</v>
      </c>
      <c r="D8" s="22" t="s">
        <v>108</v>
      </c>
      <c r="E8" s="22" t="s">
        <v>147</v>
      </c>
      <c r="F8" s="22">
        <f>'Passenger transport data'!D15*10^3</f>
        <v>0</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0.65455572404656526</v>
      </c>
      <c r="G11" s="98"/>
      <c r="H11" s="27">
        <f>F11/A11</f>
        <v>0.65455572404656526</v>
      </c>
      <c r="I11" s="1">
        <v>0</v>
      </c>
      <c r="J11" s="1">
        <f>C$8*F11</f>
        <v>158.13435533225945</v>
      </c>
      <c r="K11" s="27">
        <f>J11/A11</f>
        <v>158.13435533225945</v>
      </c>
    </row>
    <row r="12" spans="1:11" x14ac:dyDescent="0.3">
      <c r="A12" s="1">
        <v>2</v>
      </c>
      <c r="B12" s="1">
        <f>B11+C$7</f>
        <v>80</v>
      </c>
      <c r="C12" s="82">
        <f>C$5*B12/100</f>
        <v>3.2000000000000001E-2</v>
      </c>
      <c r="D12" s="82"/>
      <c r="E12" s="82"/>
      <c r="F12" s="82">
        <f>F$11+C12</f>
        <v>0.68655572404656529</v>
      </c>
      <c r="G12" s="82"/>
      <c r="H12" s="27">
        <f t="shared" ref="H12:H15" si="0">F12/A12</f>
        <v>0.34327786202328264</v>
      </c>
      <c r="I12" s="1">
        <f>C$6*B12</f>
        <v>8</v>
      </c>
      <c r="J12" s="1">
        <f>F12*(I12+J$11)</f>
        <v>114.06049261414874</v>
      </c>
      <c r="K12" s="27">
        <f t="shared" ref="K12:K15" si="1">J12/A12</f>
        <v>57.030246307074371</v>
      </c>
    </row>
    <row r="13" spans="1:11" x14ac:dyDescent="0.3">
      <c r="A13" s="1">
        <v>3</v>
      </c>
      <c r="B13" s="1">
        <f t="shared" ref="B13:B15" si="2">B12+C$7</f>
        <v>160</v>
      </c>
      <c r="C13" s="82">
        <f>C$5*B13/100</f>
        <v>6.4000000000000001E-2</v>
      </c>
      <c r="D13" s="82"/>
      <c r="E13" s="82"/>
      <c r="F13" s="82">
        <f t="shared" ref="F13:F15" si="3">F$11+C13</f>
        <v>0.7185557240465652</v>
      </c>
      <c r="G13" s="82"/>
      <c r="H13" s="27">
        <f t="shared" si="0"/>
        <v>0.2395185746821884</v>
      </c>
      <c r="I13" s="1">
        <f t="shared" ref="I13:I15" si="4">C$6*B13</f>
        <v>16</v>
      </c>
      <c r="J13" s="1">
        <f t="shared" ref="J13:J15" si="5">F13*(I13+J$11)</f>
        <v>125.12523777715354</v>
      </c>
      <c r="K13" s="27">
        <f t="shared" si="1"/>
        <v>41.708412592384512</v>
      </c>
    </row>
    <row r="14" spans="1:11" x14ac:dyDescent="0.3">
      <c r="A14" s="1">
        <v>4</v>
      </c>
      <c r="B14" s="1">
        <f t="shared" si="2"/>
        <v>240</v>
      </c>
      <c r="C14" s="82">
        <f>C$5*B14/100</f>
        <v>9.6000000000000002E-2</v>
      </c>
      <c r="D14" s="82"/>
      <c r="E14" s="82"/>
      <c r="F14" s="82">
        <f t="shared" si="3"/>
        <v>0.75055572404656523</v>
      </c>
      <c r="G14" s="82"/>
      <c r="H14" s="27">
        <f t="shared" si="0"/>
        <v>0.18763893101164131</v>
      </c>
      <c r="I14" s="1">
        <f t="shared" si="4"/>
        <v>24</v>
      </c>
      <c r="J14" s="1">
        <f t="shared" si="5"/>
        <v>136.70198294015839</v>
      </c>
      <c r="K14" s="27">
        <f t="shared" si="1"/>
        <v>34.175495735039597</v>
      </c>
    </row>
    <row r="15" spans="1:11" x14ac:dyDescent="0.3">
      <c r="A15" s="1">
        <v>5</v>
      </c>
      <c r="B15" s="1">
        <f t="shared" si="2"/>
        <v>320</v>
      </c>
      <c r="C15" s="82">
        <f>C$5*B15/100</f>
        <v>0.128</v>
      </c>
      <c r="D15" s="82"/>
      <c r="E15" s="82"/>
      <c r="F15" s="82">
        <f t="shared" si="3"/>
        <v>0.78255572404656526</v>
      </c>
      <c r="G15" s="82"/>
      <c r="H15" s="27">
        <f t="shared" si="0"/>
        <v>0.15651114480931305</v>
      </c>
      <c r="I15" s="1">
        <f t="shared" si="4"/>
        <v>32</v>
      </c>
      <c r="J15" s="1">
        <f t="shared" si="5"/>
        <v>148.79072810316322</v>
      </c>
      <c r="K15" s="27">
        <f t="shared" si="1"/>
        <v>29.758145620632643</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0.40951016488134728</v>
      </c>
      <c r="G17" s="98"/>
      <c r="H17" s="27">
        <f>F17/A17</f>
        <v>0.40951016488134728</v>
      </c>
      <c r="I17" s="1">
        <v>0</v>
      </c>
      <c r="J17" s="1">
        <f>C$8*F17</f>
        <v>98.933709608675343</v>
      </c>
      <c r="K17" s="27">
        <f>J17/A17</f>
        <v>98.933709608675343</v>
      </c>
    </row>
    <row r="18" spans="1:11" x14ac:dyDescent="0.3">
      <c r="A18" s="1">
        <v>2</v>
      </c>
      <c r="B18" s="1">
        <f>C7+B17</f>
        <v>80</v>
      </c>
      <c r="C18" s="82">
        <f>C$5*B18/100</f>
        <v>3.2000000000000001E-2</v>
      </c>
      <c r="D18" s="82"/>
      <c r="E18" s="82"/>
      <c r="F18" s="82">
        <f>F17+C18</f>
        <v>0.44151016488134731</v>
      </c>
      <c r="G18" s="82"/>
      <c r="H18" s="27">
        <f>F18/A18</f>
        <v>0.22075508244067366</v>
      </c>
      <c r="I18" s="1">
        <f>C6*B18</f>
        <v>8</v>
      </c>
      <c r="J18" s="1">
        <f>F18*(I18+J17)</f>
        <v>47.212319760700368</v>
      </c>
      <c r="K18" s="27">
        <f>J18/A18</f>
        <v>23.606159880350184</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5.6642624706306881</v>
      </c>
      <c r="G20" s="95"/>
      <c r="H20" s="30">
        <f>F20/A20</f>
        <v>5.6642624706306881</v>
      </c>
      <c r="I20" s="1">
        <v>0</v>
      </c>
      <c r="J20" s="1">
        <f>C$8*F20</f>
        <v>1368.4312294886809</v>
      </c>
      <c r="K20" s="1">
        <f>J20/A20</f>
        <v>1368.4312294886809</v>
      </c>
    </row>
    <row r="21" spans="1:11" x14ac:dyDescent="0.3">
      <c r="A21" s="18">
        <f>'Passenger transport data'!H5</f>
        <v>5.7332879240821475</v>
      </c>
      <c r="B21" s="1">
        <f>C$7*A21</f>
        <v>458.66303392657181</v>
      </c>
      <c r="C21" s="76">
        <f>B21*C$5/100</f>
        <v>0.18346521357062873</v>
      </c>
      <c r="D21" s="77"/>
      <c r="E21" s="78"/>
      <c r="F21" s="96">
        <f>F$20+C21</f>
        <v>5.8477276842013168</v>
      </c>
      <c r="G21" s="97"/>
      <c r="H21" s="27">
        <f t="shared" ref="H21:H23" si="6">F21/A21</f>
        <v>1.0199605813687598</v>
      </c>
      <c r="I21" s="1">
        <f>C$6*B21</f>
        <v>45.866303392657187</v>
      </c>
      <c r="J21" s="1">
        <f>F21*(I21+J$20)</f>
        <v>8270.4268367278237</v>
      </c>
      <c r="K21" s="27">
        <f t="shared" ref="K21:K23" si="7">J21/A21</f>
        <v>1442.5277338660524</v>
      </c>
    </row>
    <row r="22" spans="1:11" x14ac:dyDescent="0.3">
      <c r="A22" s="18">
        <f>'Passenger transport data'!I5</f>
        <v>18.029207308434426</v>
      </c>
      <c r="B22" s="1">
        <f t="shared" ref="B22:B23" si="8">C$7*A22</f>
        <v>1442.336584674754</v>
      </c>
      <c r="C22" s="76">
        <f t="shared" ref="C22:C23" si="9">B22*C$5/100</f>
        <v>0.57693463386990163</v>
      </c>
      <c r="D22" s="77"/>
      <c r="E22" s="78"/>
      <c r="F22" s="76">
        <f>F$20+C22</f>
        <v>6.2411971045005901</v>
      </c>
      <c r="G22" s="78"/>
      <c r="H22" s="27">
        <f t="shared" si="6"/>
        <v>0.34617146487526562</v>
      </c>
      <c r="I22" s="1">
        <f t="shared" ref="I22:I23" si="10">C$6*B22</f>
        <v>144.23365846747541</v>
      </c>
      <c r="J22" s="1">
        <f t="shared" ref="J22:J23" si="11">F22*(I22+J$20)</f>
        <v>9440.8397187916726</v>
      </c>
      <c r="K22" s="27">
        <f t="shared" si="7"/>
        <v>523.64142012916216</v>
      </c>
    </row>
    <row r="23" spans="1:11" x14ac:dyDescent="0.3">
      <c r="A23" s="18">
        <f>'Passenger transport data'!J5</f>
        <v>30.325126692786704</v>
      </c>
      <c r="B23" s="1">
        <f t="shared" si="8"/>
        <v>2426.0101354229364</v>
      </c>
      <c r="C23" s="76">
        <f t="shared" si="9"/>
        <v>0.97040405416917452</v>
      </c>
      <c r="D23" s="77"/>
      <c r="E23" s="78"/>
      <c r="F23" s="76">
        <f t="shared" ref="F23" si="12">F$20+C23</f>
        <v>6.6346665247998624</v>
      </c>
      <c r="G23" s="78"/>
      <c r="H23" s="27">
        <f t="shared" si="6"/>
        <v>0.21878446187590106</v>
      </c>
      <c r="I23" s="1">
        <f t="shared" si="10"/>
        <v>242.60101354229366</v>
      </c>
      <c r="J23" s="1">
        <f t="shared" si="11"/>
        <v>10688.661693210843</v>
      </c>
      <c r="K23" s="27">
        <f t="shared" si="7"/>
        <v>352.46882235625759</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0</v>
      </c>
      <c r="K25" s="30">
        <f>J25/A25</f>
        <v>0</v>
      </c>
    </row>
    <row r="26" spans="1:11" x14ac:dyDescent="0.3">
      <c r="A26" s="37">
        <f>'Passenger transport data'!H7</f>
        <v>31.761822494216858</v>
      </c>
      <c r="B26" s="1">
        <f>C$7*A26</f>
        <v>2540.9457995373486</v>
      </c>
      <c r="C26" s="76">
        <f>B26*C$5/100</f>
        <v>1.0163783198149394</v>
      </c>
      <c r="D26" s="77"/>
      <c r="E26" s="78"/>
      <c r="F26" s="79">
        <f>F$25+C26</f>
        <v>20.240768319814944</v>
      </c>
      <c r="G26" s="80"/>
      <c r="H26" s="27">
        <f t="shared" ref="H26:H28" si="13">F26/A26</f>
        <v>0.63726721989899515</v>
      </c>
      <c r="I26" s="1">
        <f>C$6*B26</f>
        <v>254.09457995373486</v>
      </c>
      <c r="J26" s="1">
        <f>F26*(I26+J$25)</f>
        <v>5143.0695241642416</v>
      </c>
      <c r="K26" s="27">
        <f t="shared" ref="K26:K28" si="14">J26/A26</f>
        <v>161.92614655851955</v>
      </c>
    </row>
    <row r="27" spans="1:11" x14ac:dyDescent="0.3">
      <c r="A27" s="37">
        <f>'Passenger transport data'!I7</f>
        <v>99.879944950367474</v>
      </c>
      <c r="B27" s="1">
        <f t="shared" ref="B27" si="15">C$7*A27</f>
        <v>7990.3955960293979</v>
      </c>
      <c r="C27" s="76">
        <f t="shared" ref="C27:C28" si="16">B27*C$5/100</f>
        <v>3.1961582384117593</v>
      </c>
      <c r="D27" s="77"/>
      <c r="E27" s="78"/>
      <c r="F27" s="79">
        <f t="shared" ref="F27:F28" si="17">F$25+C27</f>
        <v>22.420548238411762</v>
      </c>
      <c r="G27" s="80"/>
      <c r="H27" s="27">
        <f t="shared" si="13"/>
        <v>0.22447497592788043</v>
      </c>
      <c r="I27" s="1">
        <f t="shared" ref="I27" si="18">C$6*B27</f>
        <v>799.03955960293979</v>
      </c>
      <c r="J27" s="1">
        <f t="shared" ref="J27:J28" si="19">F27*(I27+J$25)</f>
        <v>17914.904990477</v>
      </c>
      <c r="K27" s="27">
        <f t="shared" si="14"/>
        <v>179.36438590729406</v>
      </c>
    </row>
    <row r="28" spans="1:11" x14ac:dyDescent="0.3">
      <c r="A28" s="37">
        <f>'Passenger transport data'!J7</f>
        <v>167.99806740651809</v>
      </c>
      <c r="B28" s="1">
        <f>C$7*A28</f>
        <v>13439.845392521447</v>
      </c>
      <c r="C28" s="76">
        <f t="shared" si="16"/>
        <v>5.3759381570085791</v>
      </c>
      <c r="D28" s="77"/>
      <c r="E28" s="78"/>
      <c r="F28" s="79">
        <f t="shared" si="17"/>
        <v>24.600328157008583</v>
      </c>
      <c r="G28" s="80"/>
      <c r="H28" s="27">
        <f t="shared" si="13"/>
        <v>0.14643220923179576</v>
      </c>
      <c r="I28" s="1">
        <f>C$6*B28</f>
        <v>1343.9845392521447</v>
      </c>
      <c r="J28" s="1">
        <f t="shared" si="19"/>
        <v>33062.460703548742</v>
      </c>
      <c r="K28" s="27">
        <f t="shared" si="14"/>
        <v>196.80262525606867</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tabSelected="1" topLeftCell="H1" zoomScale="80" zoomScaleNormal="80" workbookViewId="0">
      <selection activeCell="K28" sqref="K2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241.59036354406661</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90</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0.31139675456337923</v>
      </c>
      <c r="G11" s="98"/>
      <c r="H11" s="27">
        <f>F11/A11</f>
        <v>0.31139675456337923</v>
      </c>
      <c r="I11" s="1">
        <v>0</v>
      </c>
      <c r="J11" s="1">
        <f>C$8*F11</f>
        <v>28.025707910704131</v>
      </c>
      <c r="K11" s="27">
        <f>J11/A11</f>
        <v>28.025707910704131</v>
      </c>
    </row>
    <row r="12" spans="1:11" x14ac:dyDescent="0.3">
      <c r="A12" s="1">
        <v>2</v>
      </c>
      <c r="B12" s="1">
        <f>B11+C$7</f>
        <v>70</v>
      </c>
      <c r="C12" s="82">
        <f t="shared" ref="C12:C15" si="0">C$4*B12/100</f>
        <v>5.9500000000000004E-3</v>
      </c>
      <c r="D12" s="82"/>
      <c r="E12" s="82"/>
      <c r="F12" s="82">
        <f>F$11+C12</f>
        <v>0.31734675456337924</v>
      </c>
      <c r="G12" s="82"/>
      <c r="H12" s="27">
        <f t="shared" ref="H12:H15" si="1">F12/A12</f>
        <v>0.15867337728168962</v>
      </c>
      <c r="I12" s="1">
        <f>C$6*B12</f>
        <v>1.9599999999999997</v>
      </c>
      <c r="J12" s="1">
        <f>F12*(I12+J$11)</f>
        <v>9.5158670887474042</v>
      </c>
      <c r="K12" s="27">
        <f t="shared" ref="K12:K15" si="2">J12/A12</f>
        <v>4.7579335443737021</v>
      </c>
    </row>
    <row r="13" spans="1:11" x14ac:dyDescent="0.3">
      <c r="A13" s="1">
        <v>3</v>
      </c>
      <c r="B13" s="1">
        <f t="shared" ref="B13:B15" si="3">B12+C$7</f>
        <v>140</v>
      </c>
      <c r="C13" s="82">
        <f t="shared" si="0"/>
        <v>1.1900000000000001E-2</v>
      </c>
      <c r="D13" s="82"/>
      <c r="E13" s="82"/>
      <c r="F13" s="82">
        <f t="shared" ref="F13:F15" si="4">F$11+C13</f>
        <v>0.32329675456337925</v>
      </c>
      <c r="G13" s="82"/>
      <c r="H13" s="27">
        <f t="shared" si="1"/>
        <v>0.10776558485445975</v>
      </c>
      <c r="I13" s="1">
        <f t="shared" ref="I13:I15" si="5">C$6*B13</f>
        <v>3.9199999999999995</v>
      </c>
      <c r="J13" s="1">
        <f t="shared" ref="J13:J15" si="6">F13*(I13+J$11)</f>
        <v>10.327943689760316</v>
      </c>
      <c r="K13" s="27">
        <f t="shared" si="2"/>
        <v>3.4426478965867719</v>
      </c>
    </row>
    <row r="14" spans="1:11" x14ac:dyDescent="0.3">
      <c r="A14" s="1">
        <v>4</v>
      </c>
      <c r="B14" s="1">
        <f t="shared" si="3"/>
        <v>210</v>
      </c>
      <c r="C14" s="82">
        <f t="shared" si="0"/>
        <v>1.7850000000000001E-2</v>
      </c>
      <c r="D14" s="82"/>
      <c r="E14" s="82"/>
      <c r="F14" s="82">
        <f t="shared" si="4"/>
        <v>0.32924675456337921</v>
      </c>
      <c r="G14" s="82"/>
      <c r="H14" s="27">
        <f t="shared" si="1"/>
        <v>8.2311688640844802E-2</v>
      </c>
      <c r="I14" s="1">
        <f t="shared" si="5"/>
        <v>5.879999999999999</v>
      </c>
      <c r="J14" s="1">
        <f t="shared" si="6"/>
        <v>11.163344290773228</v>
      </c>
      <c r="K14" s="27">
        <f t="shared" si="2"/>
        <v>2.790836072693307</v>
      </c>
    </row>
    <row r="15" spans="1:11" x14ac:dyDescent="0.3">
      <c r="A15" s="1">
        <v>5</v>
      </c>
      <c r="B15" s="1">
        <f t="shared" si="3"/>
        <v>280</v>
      </c>
      <c r="C15" s="82">
        <f t="shared" si="0"/>
        <v>2.3800000000000002E-2</v>
      </c>
      <c r="D15" s="82"/>
      <c r="E15" s="82"/>
      <c r="F15" s="82">
        <f t="shared" si="4"/>
        <v>0.33519675456337922</v>
      </c>
      <c r="G15" s="82"/>
      <c r="H15" s="27">
        <f t="shared" si="1"/>
        <v>6.7039350912675849E-2</v>
      </c>
      <c r="I15" s="1">
        <f t="shared" si="5"/>
        <v>7.839999999999999</v>
      </c>
      <c r="J15" s="1">
        <f t="shared" si="6"/>
        <v>12.022068891786141</v>
      </c>
      <c r="K15" s="27">
        <f t="shared" si="2"/>
        <v>2.4044137783572284</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0.5548320474959636</v>
      </c>
      <c r="G17" s="95"/>
      <c r="H17" s="27">
        <f>F17/A17</f>
        <v>0.5548320474959636</v>
      </c>
      <c r="I17" s="1">
        <v>0</v>
      </c>
      <c r="J17" s="1">
        <f>F17*(0.5*C$8+0.5*F$6)</f>
        <v>91.98848016754269</v>
      </c>
      <c r="K17" s="27">
        <f>J17/A17</f>
        <v>91.98848016754269</v>
      </c>
    </row>
    <row r="18" spans="1:11" x14ac:dyDescent="0.3">
      <c r="A18" s="1">
        <v>2</v>
      </c>
      <c r="B18" s="1">
        <f>C$7+B17</f>
        <v>70</v>
      </c>
      <c r="C18" s="76">
        <f>B18*(0.5*C$4+0.5*'Transport c&amp;e fuel vehicles'!C$5)/100</f>
        <v>1.6975000000000001E-2</v>
      </c>
      <c r="D18" s="77"/>
      <c r="E18" s="78"/>
      <c r="F18" s="76">
        <f>F$17+C18</f>
        <v>0.57180704749596356</v>
      </c>
      <c r="G18" s="78"/>
      <c r="H18" s="27">
        <f t="shared" ref="H18:H21" si="7">F18/A18</f>
        <v>0.28590352374798178</v>
      </c>
      <c r="I18" s="1">
        <f>B18*(0.5*C$6+0.5*'Transport c&amp;e fuel vehicles'!C$6)/100</f>
        <v>4.4800000000000006E-2</v>
      </c>
      <c r="J18" s="1">
        <f>F18*(I18+J$17)</f>
        <v>52.625278203971398</v>
      </c>
      <c r="K18" s="27">
        <f t="shared" ref="K18:K21" si="8">J18/A18</f>
        <v>26.312639101985699</v>
      </c>
    </row>
    <row r="19" spans="1:11" x14ac:dyDescent="0.3">
      <c r="A19" s="1">
        <v>3</v>
      </c>
      <c r="B19" s="1">
        <f t="shared" ref="B19:B21" si="9">C$7+B18</f>
        <v>140</v>
      </c>
      <c r="C19" s="76">
        <f>B19*(0.5*C$4+0.5*'Transport c&amp;e fuel vehicles'!C$5)/100</f>
        <v>3.3950000000000001E-2</v>
      </c>
      <c r="D19" s="77"/>
      <c r="E19" s="78"/>
      <c r="F19" s="76">
        <f t="shared" ref="F19:F21" si="10">F$17+C19</f>
        <v>0.58878204749596363</v>
      </c>
      <c r="G19" s="78"/>
      <c r="H19" s="27">
        <f t="shared" si="7"/>
        <v>0.19626068249865455</v>
      </c>
      <c r="I19" s="1">
        <f>B19*(0.5*C$6+0.5*'Transport c&amp;e fuel vehicles'!C$6)/100</f>
        <v>8.9600000000000013E-2</v>
      </c>
      <c r="J19" s="1">
        <f t="shared" ref="J19:J21" si="11">F19*(I19+J$17)</f>
        <v>54.213920570543273</v>
      </c>
      <c r="K19" s="27">
        <f t="shared" si="8"/>
        <v>18.071306856847759</v>
      </c>
    </row>
    <row r="20" spans="1:11" x14ac:dyDescent="0.3">
      <c r="A20" s="1">
        <v>4</v>
      </c>
      <c r="B20" s="1">
        <f t="shared" si="9"/>
        <v>210</v>
      </c>
      <c r="C20" s="76">
        <f>B20*(0.5*C$4+0.5*'Transport c&amp;e fuel vehicles'!C$5)/100</f>
        <v>5.0925000000000005E-2</v>
      </c>
      <c r="D20" s="77"/>
      <c r="E20" s="78"/>
      <c r="F20" s="76">
        <f t="shared" si="10"/>
        <v>0.6057570474959636</v>
      </c>
      <c r="G20" s="78"/>
      <c r="H20" s="27">
        <f t="shared" si="7"/>
        <v>0.1514392618739909</v>
      </c>
      <c r="I20" s="1">
        <f>B20*(0.5*C$6+0.5*'Transport c&amp;e fuel vehicles'!C$6)/100</f>
        <v>0.13439999999999999</v>
      </c>
      <c r="J20" s="1">
        <f t="shared" si="11"/>
        <v>55.80408389711512</v>
      </c>
      <c r="K20" s="27">
        <f t="shared" si="8"/>
        <v>13.95102097427878</v>
      </c>
    </row>
    <row r="21" spans="1:11" x14ac:dyDescent="0.3">
      <c r="A21" s="1">
        <v>5</v>
      </c>
      <c r="B21" s="1">
        <f t="shared" si="9"/>
        <v>280</v>
      </c>
      <c r="C21" s="76">
        <f>B21*(0.5*C$4+0.5*'Transport c&amp;e fuel vehicles'!C$5)/100</f>
        <v>6.7900000000000002E-2</v>
      </c>
      <c r="D21" s="77"/>
      <c r="E21" s="78"/>
      <c r="F21" s="76">
        <f t="shared" si="10"/>
        <v>0.62273204749596356</v>
      </c>
      <c r="G21" s="78"/>
      <c r="H21" s="27">
        <f t="shared" si="7"/>
        <v>0.12454640949919271</v>
      </c>
      <c r="I21" s="1">
        <f>B21*(0.5*C$6+0.5*'Transport c&amp;e fuel vehicles'!C$6)/100</f>
        <v>0.17920000000000003</v>
      </c>
      <c r="J21" s="1">
        <f t="shared" si="11"/>
        <v>57.395768183686968</v>
      </c>
      <c r="K21" s="27">
        <f t="shared" si="8"/>
        <v>11.479153636737394</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0.12600705882332089</v>
      </c>
      <c r="G23" s="98"/>
      <c r="H23" s="27">
        <f>F23/A23</f>
        <v>0.12600705882332089</v>
      </c>
      <c r="I23" s="1">
        <v>0</v>
      </c>
      <c r="J23" s="1">
        <f>C$8*F23</f>
        <v>11.340635294098879</v>
      </c>
      <c r="K23" s="27">
        <f>J23/A23</f>
        <v>11.340635294098879</v>
      </c>
    </row>
    <row r="24" spans="1:11" x14ac:dyDescent="0.3">
      <c r="A24" s="1">
        <v>2</v>
      </c>
      <c r="B24" s="1">
        <f>C7+B23</f>
        <v>70</v>
      </c>
      <c r="C24" s="82">
        <f>C$5*B24/100</f>
        <v>0</v>
      </c>
      <c r="D24" s="82"/>
      <c r="E24" s="82"/>
      <c r="F24" s="82">
        <f>F23+C24</f>
        <v>0.12600705882332089</v>
      </c>
      <c r="G24" s="82"/>
      <c r="H24" s="27">
        <f>F24/A24</f>
        <v>6.3003529411660444E-2</v>
      </c>
      <c r="I24" s="1">
        <f>C6*B24</f>
        <v>1.9599999999999997</v>
      </c>
      <c r="J24" s="1">
        <f>F24*(I24+J23)</f>
        <v>1.6759739338910553</v>
      </c>
      <c r="K24" s="27">
        <f>J24/A24</f>
        <v>0.83798696694552766</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1.1315289046634419E-2</v>
      </c>
      <c r="G26" s="95"/>
      <c r="H26" s="27">
        <f>F26/A26</f>
        <v>1.1315289046634419E-2</v>
      </c>
      <c r="I26" s="1">
        <v>0</v>
      </c>
      <c r="J26" s="1">
        <f>C$8*F26</f>
        <v>1.0183760141970977</v>
      </c>
      <c r="K26" s="27">
        <f>J26/A26</f>
        <v>1.0183760141970977</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2.4531546653103423E-2</v>
      </c>
      <c r="G28" s="95"/>
      <c r="H28" s="27">
        <f>F28/A28</f>
        <v>2.4531546653103423E-2</v>
      </c>
      <c r="I28" s="1">
        <v>0</v>
      </c>
      <c r="J28" s="1">
        <f>C$8*F28</f>
        <v>2.207839198779308</v>
      </c>
      <c r="K28" s="27">
        <f>J28/A28</f>
        <v>2.207839198779308</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3.4222121225520659</v>
      </c>
      <c r="G30" s="95"/>
      <c r="H30" s="2">
        <f>F30/A30</f>
        <v>3.4222121225520659</v>
      </c>
      <c r="I30" s="1">
        <v>0</v>
      </c>
      <c r="J30" s="1">
        <f>C$8*F30</f>
        <v>307.99909102968593</v>
      </c>
      <c r="K30" s="27">
        <f>J30/A30</f>
        <v>307.99909102968593</v>
      </c>
    </row>
    <row r="31" spans="1:11" x14ac:dyDescent="0.3">
      <c r="A31" s="18">
        <f>'Passenger transport data'!H6</f>
        <v>25.409457995373486</v>
      </c>
      <c r="B31" s="1">
        <f>C$7*A31</f>
        <v>1778.6620596761441</v>
      </c>
      <c r="C31" s="76">
        <f t="shared" ref="C31:C33" si="12">C$4*B31/100</f>
        <v>0.15118627507247226</v>
      </c>
      <c r="D31" s="77"/>
      <c r="E31" s="78"/>
      <c r="F31" s="76">
        <f>F$30+C31</f>
        <v>3.5733983976245383</v>
      </c>
      <c r="G31" s="78"/>
      <c r="H31" s="27">
        <f t="shared" ref="H31:H33" si="13">F31/A31</f>
        <v>0.14063261004131519</v>
      </c>
      <c r="I31" s="1">
        <f>C$6*B31</f>
        <v>49.802537670932026</v>
      </c>
      <c r="J31" s="1">
        <f>F31*(I31+J$30)</f>
        <v>1278.5677666662382</v>
      </c>
      <c r="K31" s="27">
        <f t="shared" ref="K31:K33" si="14">J31/A31</f>
        <v>50.318576921201455</v>
      </c>
    </row>
    <row r="32" spans="1:11" x14ac:dyDescent="0.3">
      <c r="A32" s="18">
        <f>'Passenger transport data'!I6</f>
        <v>79.903955960293985</v>
      </c>
      <c r="B32" s="1">
        <f>C$7*A32</f>
        <v>5593.276917220579</v>
      </c>
      <c r="C32" s="76">
        <f t="shared" si="12"/>
        <v>0.47542853796374929</v>
      </c>
      <c r="D32" s="77"/>
      <c r="E32" s="78"/>
      <c r="F32" s="76">
        <f t="shared" ref="F32:F33" si="15">F$30+C32</f>
        <v>3.8976406605158154</v>
      </c>
      <c r="G32" s="78"/>
      <c r="H32" s="27">
        <f t="shared" si="13"/>
        <v>4.8779069993138233E-2</v>
      </c>
      <c r="I32" s="1">
        <f t="shared" ref="I32:I33" si="16">C$6*B32</f>
        <v>156.61175368217619</v>
      </c>
      <c r="J32" s="1">
        <f t="shared" ref="J32:J33" si="17">F32*(I32+J$30)</f>
        <v>1810.8861196655532</v>
      </c>
      <c r="K32" s="27">
        <f t="shared" si="14"/>
        <v>22.663284913771001</v>
      </c>
    </row>
    <row r="33" spans="1:11" x14ac:dyDescent="0.3">
      <c r="A33" s="18">
        <f>'Passenger transport data'!J6</f>
        <v>134.39845392521448</v>
      </c>
      <c r="B33" s="1">
        <f>C$7*A33</f>
        <v>9407.8917747650139</v>
      </c>
      <c r="C33" s="76">
        <f t="shared" si="12"/>
        <v>0.79967080085502629</v>
      </c>
      <c r="D33" s="77"/>
      <c r="E33" s="78"/>
      <c r="F33" s="76">
        <f t="shared" si="15"/>
        <v>4.221882923407092</v>
      </c>
      <c r="G33" s="78"/>
      <c r="H33" s="27">
        <f t="shared" si="13"/>
        <v>3.141318073313807E-2</v>
      </c>
      <c r="I33" s="1">
        <f t="shared" si="16"/>
        <v>263.42096969342037</v>
      </c>
      <c r="J33" s="1">
        <f t="shared" si="17"/>
        <v>2412.4685964591263</v>
      </c>
      <c r="K33" s="27">
        <f t="shared" si="14"/>
        <v>17.950121642035668</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11.281615725449578</v>
      </c>
      <c r="G35" s="95"/>
      <c r="H35" s="2">
        <f>F35/A35</f>
        <v>11.281615725449578</v>
      </c>
      <c r="I35" s="1">
        <v>0</v>
      </c>
      <c r="J35" s="34">
        <f>C$8*F35</f>
        <v>1015.345415290462</v>
      </c>
      <c r="K35" s="27">
        <f>J35/A35</f>
        <v>1015.345415290462</v>
      </c>
    </row>
    <row r="36" spans="1:11" x14ac:dyDescent="0.3">
      <c r="A36" s="18">
        <f>'Passenger transport data'!H7</f>
        <v>31.761822494216858</v>
      </c>
      <c r="B36" s="1">
        <f>C$7*A36</f>
        <v>2223.3275745951801</v>
      </c>
      <c r="C36" s="76">
        <f t="shared" ref="C36:C38" si="18">C$4*B36/100</f>
        <v>0.18898284384059033</v>
      </c>
      <c r="D36" s="77"/>
      <c r="E36" s="78"/>
      <c r="F36" s="76">
        <f>F$35+C36</f>
        <v>11.470598569290168</v>
      </c>
      <c r="G36" s="78"/>
      <c r="H36" s="27">
        <f t="shared" ref="H36:H38" si="19">F36/A36</f>
        <v>0.36114421870403424</v>
      </c>
      <c r="I36" s="1">
        <f>C$6*B36</f>
        <v>62.253172088665032</v>
      </c>
      <c r="J36" s="34">
        <f>F36*(I36+J$35)</f>
        <v>12360.700814660122</v>
      </c>
      <c r="K36" s="27">
        <f t="shared" ref="K36:K38" si="20">J36/A36</f>
        <v>389.16849991560588</v>
      </c>
    </row>
    <row r="37" spans="1:11" x14ac:dyDescent="0.3">
      <c r="A37" s="18">
        <f>'Passenger transport data'!I7</f>
        <v>99.879944950367474</v>
      </c>
      <c r="B37" s="1">
        <f t="shared" ref="B37:B38" si="21">C$7*A37</f>
        <v>6991.5961465257233</v>
      </c>
      <c r="C37" s="76">
        <f t="shared" si="18"/>
        <v>0.59428567245468644</v>
      </c>
      <c r="D37" s="77"/>
      <c r="E37" s="78"/>
      <c r="F37" s="76">
        <f t="shared" ref="F37:F38" si="22">F$35+C37</f>
        <v>11.875901397904265</v>
      </c>
      <c r="G37" s="78"/>
      <c r="H37" s="27">
        <f t="shared" si="19"/>
        <v>0.11890176154788291</v>
      </c>
      <c r="I37" s="1">
        <f t="shared" ref="I37:I38" si="23">C$6*B37</f>
        <v>195.76469210272023</v>
      </c>
      <c r="J37" s="34">
        <f t="shared" ref="J37:J38" si="24">F37*(I37+J$35)</f>
        <v>14383.024217406677</v>
      </c>
      <c r="K37" s="27">
        <f t="shared" si="20"/>
        <v>144.00312519749502</v>
      </c>
    </row>
    <row r="38" spans="1:11" x14ac:dyDescent="0.3">
      <c r="A38" s="18">
        <f>'Passenger transport data'!J7</f>
        <v>167.99806740651809</v>
      </c>
      <c r="B38" s="1">
        <f t="shared" si="21"/>
        <v>11759.864718456267</v>
      </c>
      <c r="C38" s="76">
        <f t="shared" si="18"/>
        <v>0.99958850106878272</v>
      </c>
      <c r="D38" s="77"/>
      <c r="E38" s="78"/>
      <c r="F38" s="76">
        <f t="shared" si="22"/>
        <v>12.28120422651836</v>
      </c>
      <c r="G38" s="78"/>
      <c r="H38" s="27">
        <f t="shared" si="19"/>
        <v>7.3103247055816237E-2</v>
      </c>
      <c r="I38" s="1">
        <f t="shared" si="23"/>
        <v>329.27621211677541</v>
      </c>
      <c r="J38" s="34">
        <f t="shared" si="24"/>
        <v>16513.572813581759</v>
      </c>
      <c r="K38" s="27">
        <f t="shared" si="20"/>
        <v>98.296207024944948</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0.31139675456337923</v>
      </c>
    </row>
    <row r="8" spans="1:6" x14ac:dyDescent="0.3">
      <c r="B8" s="1" t="s">
        <v>99</v>
      </c>
      <c r="C8" s="1">
        <v>6.96</v>
      </c>
      <c r="D8" s="1">
        <f t="shared" ref="D8:D10" si="0">C8/100</f>
        <v>6.9599999999999995E-2</v>
      </c>
      <c r="E8" s="1">
        <f>D8/D$7</f>
        <v>0.40465116279069768</v>
      </c>
      <c r="F8" s="1">
        <f>F$7*E8</f>
        <v>0.12600705882332089</v>
      </c>
    </row>
    <row r="9" spans="1:6" x14ac:dyDescent="0.3">
      <c r="B9" s="1" t="s">
        <v>100</v>
      </c>
      <c r="C9" s="1">
        <v>0.625</v>
      </c>
      <c r="D9" s="1">
        <f t="shared" si="0"/>
        <v>6.2500000000000003E-3</v>
      </c>
      <c r="E9" s="1">
        <f>D9/D$7</f>
        <v>3.6337209302325583E-2</v>
      </c>
      <c r="F9" s="1">
        <f t="shared" ref="F9:F10" si="1">F$7*E9</f>
        <v>1.1315289046634419E-2</v>
      </c>
    </row>
    <row r="10" spans="1:6" x14ac:dyDescent="0.3">
      <c r="B10" s="1" t="s">
        <v>101</v>
      </c>
      <c r="C10" s="1">
        <v>1.355</v>
      </c>
      <c r="D10" s="1">
        <f t="shared" si="0"/>
        <v>1.355E-2</v>
      </c>
      <c r="E10" s="1">
        <f>D10/D$7</f>
        <v>7.8779069767441867E-2</v>
      </c>
      <c r="F10" s="1">
        <f t="shared" si="1"/>
        <v>2.4531546653103423E-2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16526EA1-6DB0-48E3-A8EA-E2FB1D619F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2022-06-21T15:47:05Z</cp:lastPrinted>
  <dcterms:created xsi:type="dcterms:W3CDTF">2022-02-24T11:40:42Z</dcterms:created>
  <dcterms:modified xsi:type="dcterms:W3CDTF">2022-06-29T09:56:41Z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