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3" documentId="8_{4C372892-E9C3-428B-950B-C5A505A38EBC}" xr6:coauthVersionLast="47" xr6:coauthVersionMax="47" xr10:uidLastSave="{EE9C3DF8-EC03-46AB-BB18-5314EEB0C207}"/>
  <bookViews>
    <workbookView xWindow="-108" yWindow="-108" windowWidth="23256" windowHeight="12456" activeTab="4"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3" i="4" l="1"/>
  <c r="B32" i="4"/>
  <c r="B31" i="4"/>
  <c r="B27" i="4"/>
  <c r="B26" i="4"/>
  <c r="B25" i="4"/>
  <c r="B24" i="4"/>
  <c r="B22" i="4"/>
  <c r="B21" i="4"/>
  <c r="B20" i="4"/>
  <c r="B16" i="4"/>
  <c r="B13" i="4"/>
  <c r="B12" i="4"/>
  <c r="B11" i="4"/>
  <c r="B10" i="4"/>
  <c r="B8" i="4"/>
  <c r="B6" i="4"/>
  <c r="D10" i="1"/>
  <c r="D11" i="1" s="1"/>
  <c r="B10" i="1"/>
  <c r="B4" i="1" l="1"/>
  <c r="B3" i="1"/>
  <c r="H6" i="12" l="1"/>
  <c r="H5" i="12" l="1"/>
  <c r="H4" i="12"/>
  <c r="K6" i="10" l="1"/>
  <c r="G5" i="10"/>
  <c r="F8" i="10"/>
  <c r="C11" i="11"/>
  <c r="E5" i="11" l="1"/>
  <c r="C8" i="10"/>
  <c r="I6" i="10"/>
  <c r="C5" i="10"/>
  <c r="C26" i="10" s="1"/>
  <c r="I4" i="10"/>
  <c r="F8" i="8"/>
  <c r="F25" i="8"/>
  <c r="C25" i="8"/>
  <c r="C11" i="10" l="1"/>
  <c r="C31" i="10"/>
  <c r="C16" i="10"/>
  <c r="C21" i="10"/>
  <c r="H25" i="8"/>
  <c r="J25" i="8"/>
  <c r="K25" i="8" s="1"/>
  <c r="D25" i="4"/>
  <c r="B10" i="12" s="1"/>
  <c r="C10" i="12" s="1"/>
  <c r="D15" i="4"/>
  <c r="B11" i="1"/>
  <c r="D3" i="1" l="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33" i="10"/>
  <c r="B33" i="10" s="1"/>
  <c r="A18" i="10"/>
  <c r="B18" i="10" s="1"/>
  <c r="A28" i="10"/>
  <c r="B28" i="10" s="1"/>
  <c r="A13" i="10"/>
  <c r="B13" i="10" s="1"/>
  <c r="A23" i="10"/>
  <c r="B2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8" i="9"/>
  <c r="B38" i="9" s="1"/>
  <c r="A39" i="12"/>
  <c r="A28" i="8"/>
  <c r="B28" i="8" s="1"/>
  <c r="A36" i="9"/>
  <c r="B36" i="9" s="1"/>
  <c r="C36" i="9" s="1"/>
  <c r="A37" i="12"/>
  <c r="A26" i="8"/>
  <c r="B26" i="8" s="1"/>
  <c r="I27" i="8"/>
  <c r="C27" i="8"/>
  <c r="F27" i="8" s="1"/>
  <c r="A42" i="12"/>
  <c r="A33" i="9"/>
  <c r="B33" i="9" s="1"/>
  <c r="A51" i="12"/>
  <c r="A31" i="9"/>
  <c r="B31" i="9" s="1"/>
  <c r="I31" i="9" s="1"/>
  <c r="A49" i="12"/>
  <c r="A21" i="8"/>
  <c r="B21" i="8" s="1"/>
  <c r="I21" i="8" s="1"/>
  <c r="A17" i="12"/>
  <c r="A22" i="10"/>
  <c r="B22" i="10" s="1"/>
  <c r="A27" i="10"/>
  <c r="B27" i="10" s="1"/>
  <c r="A32" i="10"/>
  <c r="B32" i="10" s="1"/>
  <c r="A17" i="10"/>
  <c r="B17" i="10" s="1"/>
  <c r="A12" i="10"/>
  <c r="B12" i="10" s="1"/>
  <c r="I23" i="10"/>
  <c r="C23" i="10"/>
  <c r="C13" i="10"/>
  <c r="I13" i="10"/>
  <c r="C28" i="10"/>
  <c r="I28" i="10"/>
  <c r="C18" i="10"/>
  <c r="I18" i="10"/>
  <c r="C33" i="10"/>
  <c r="I33" i="10"/>
  <c r="A19" i="12"/>
  <c r="A34" i="10"/>
  <c r="B34" i="10" s="1"/>
  <c r="A19" i="10"/>
  <c r="B19" i="10" s="1"/>
  <c r="A14" i="10"/>
  <c r="B14" i="10" s="1"/>
  <c r="A29" i="10"/>
  <c r="B29" i="10" s="1"/>
  <c r="A24" i="10"/>
  <c r="B24" i="10" s="1"/>
  <c r="A26" i="12"/>
  <c r="A34" i="12"/>
  <c r="A22" i="12"/>
  <c r="A30" i="12"/>
  <c r="C43" i="9"/>
  <c r="I43" i="9"/>
  <c r="C42" i="9"/>
  <c r="C41" i="9"/>
  <c r="I38" i="9"/>
  <c r="C38" i="9"/>
  <c r="I37" i="9"/>
  <c r="C37" i="9"/>
  <c r="C32" i="9"/>
  <c r="I32" i="9"/>
  <c r="C31" i="9"/>
  <c r="A23" i="8"/>
  <c r="B23" i="8" s="1"/>
  <c r="I23" i="8" s="1"/>
  <c r="C22" i="8"/>
  <c r="C21" i="8"/>
  <c r="D29" i="4"/>
  <c r="D26" i="4"/>
  <c r="D27" i="4"/>
  <c r="D24" i="4"/>
  <c r="D17" i="4"/>
  <c r="D16" i="4"/>
  <c r="L6" i="10" s="1"/>
  <c r="D10" i="4"/>
  <c r="F11" i="8" s="1"/>
  <c r="D11" i="4"/>
  <c r="F17" i="9" s="1"/>
  <c r="D12" i="4"/>
  <c r="D13" i="4"/>
  <c r="D8" i="4"/>
  <c r="F17" i="8" s="1"/>
  <c r="F40" i="9" l="1"/>
  <c r="H40" i="9" s="1"/>
  <c r="B11" i="12"/>
  <c r="B46" i="12" s="1"/>
  <c r="F35" i="9"/>
  <c r="H35" i="9" s="1"/>
  <c r="B9" i="12"/>
  <c r="B38" i="12" s="1"/>
  <c r="F30" i="9"/>
  <c r="H30" i="9" s="1"/>
  <c r="B12" i="12"/>
  <c r="B50" i="12" s="1"/>
  <c r="I26" i="8"/>
  <c r="C26" i="8"/>
  <c r="F26" i="8" s="1"/>
  <c r="A41" i="12"/>
  <c r="H27" i="8"/>
  <c r="J27" i="8"/>
  <c r="K27" i="8" s="1"/>
  <c r="I36" i="9"/>
  <c r="I28" i="8"/>
  <c r="C28" i="8"/>
  <c r="F28" i="8" s="1"/>
  <c r="A43" i="12"/>
  <c r="C42" i="12"/>
  <c r="B42" i="12"/>
  <c r="F20" i="8"/>
  <c r="F21" i="8" s="1"/>
  <c r="B4" i="12"/>
  <c r="B19" i="12" s="1"/>
  <c r="F11" i="10"/>
  <c r="H11" i="10" s="1"/>
  <c r="F31" i="10"/>
  <c r="H31" i="10" s="1"/>
  <c r="F21" i="10"/>
  <c r="F26" i="10"/>
  <c r="F16" i="10"/>
  <c r="H16" i="10" s="1"/>
  <c r="I24" i="10"/>
  <c r="C24" i="10"/>
  <c r="C12" i="10"/>
  <c r="I12" i="10"/>
  <c r="I29" i="10"/>
  <c r="C29" i="10"/>
  <c r="I17" i="10"/>
  <c r="C17" i="10"/>
  <c r="F17" i="10" s="1"/>
  <c r="H17" i="10" s="1"/>
  <c r="I14" i="10"/>
  <c r="C14" i="10"/>
  <c r="I32" i="10"/>
  <c r="C32" i="10"/>
  <c r="C19" i="10"/>
  <c r="F19" i="10" s="1"/>
  <c r="H19" i="10" s="1"/>
  <c r="I19" i="10"/>
  <c r="C27" i="10"/>
  <c r="I27" i="10"/>
  <c r="C34" i="10"/>
  <c r="I34" i="10"/>
  <c r="I22" i="10"/>
  <c r="C22" i="10"/>
  <c r="A31" i="12"/>
  <c r="A35" i="12"/>
  <c r="A27" i="12"/>
  <c r="A23" i="12"/>
  <c r="A25" i="12"/>
  <c r="A33" i="12"/>
  <c r="A21" i="12"/>
  <c r="A29" i="12"/>
  <c r="B17" i="12"/>
  <c r="C8" i="9"/>
  <c r="H3" i="12"/>
  <c r="C10" i="11"/>
  <c r="C8" i="8"/>
  <c r="J11" i="8" s="1"/>
  <c r="K11" i="8" s="1"/>
  <c r="F41" i="9"/>
  <c r="H41" i="9" s="1"/>
  <c r="F42" i="9"/>
  <c r="H42" i="9" s="1"/>
  <c r="F43" i="9"/>
  <c r="H43" i="9" s="1"/>
  <c r="H20" i="8"/>
  <c r="F11" i="9"/>
  <c r="F7" i="7"/>
  <c r="H17" i="9"/>
  <c r="F19" i="9"/>
  <c r="F20" i="9"/>
  <c r="F21" i="9"/>
  <c r="F18" i="9"/>
  <c r="H11" i="8"/>
  <c r="F13" i="8"/>
  <c r="F12" i="8"/>
  <c r="F14" i="8"/>
  <c r="F15" i="8"/>
  <c r="H17" i="8"/>
  <c r="F18" i="8"/>
  <c r="C23" i="8"/>
  <c r="I33" i="9"/>
  <c r="C33" i="9"/>
  <c r="E10" i="1"/>
  <c r="F14" i="10" l="1"/>
  <c r="H14" i="10" s="1"/>
  <c r="F34" i="10"/>
  <c r="H34" i="10" s="1"/>
  <c r="F24" i="10"/>
  <c r="F22" i="8"/>
  <c r="H22" i="8" s="1"/>
  <c r="B37" i="12"/>
  <c r="F22" i="10"/>
  <c r="J22" i="10" s="1"/>
  <c r="K22" i="10" s="1"/>
  <c r="F23" i="8"/>
  <c r="H23" i="8" s="1"/>
  <c r="B39" i="12"/>
  <c r="B47" i="12"/>
  <c r="B45" i="12"/>
  <c r="F38" i="9"/>
  <c r="H38" i="9" s="1"/>
  <c r="F36" i="9"/>
  <c r="H36" i="9" s="1"/>
  <c r="F37" i="9"/>
  <c r="H37" i="9" s="1"/>
  <c r="F33" i="9"/>
  <c r="F32" i="9"/>
  <c r="H32" i="9" s="1"/>
  <c r="B49" i="12"/>
  <c r="F31" i="9"/>
  <c r="H31" i="9" s="1"/>
  <c r="B51" i="12"/>
  <c r="B41" i="12"/>
  <c r="C41" i="12"/>
  <c r="C43" i="12"/>
  <c r="B43" i="12"/>
  <c r="J26" i="8"/>
  <c r="K26" i="8" s="1"/>
  <c r="H26" i="8"/>
  <c r="H28" i="8"/>
  <c r="J28" i="8"/>
  <c r="K28" i="8" s="1"/>
  <c r="J14" i="8"/>
  <c r="J17" i="8"/>
  <c r="K17" i="8" s="1"/>
  <c r="J15" i="8"/>
  <c r="J18" i="8"/>
  <c r="K18" i="8" s="1"/>
  <c r="J13" i="8"/>
  <c r="K13" i="8" s="1"/>
  <c r="J20" i="8"/>
  <c r="K20" i="8" s="1"/>
  <c r="J21" i="10"/>
  <c r="K21" i="10" s="1"/>
  <c r="H21" i="10"/>
  <c r="F23" i="10"/>
  <c r="B21" i="12"/>
  <c r="F29" i="10"/>
  <c r="F13" i="10"/>
  <c r="H13" i="10" s="1"/>
  <c r="B8" i="12"/>
  <c r="B7" i="12"/>
  <c r="B34" i="12" s="1"/>
  <c r="B5" i="12"/>
  <c r="B22" i="12" s="1"/>
  <c r="B6" i="12"/>
  <c r="B18" i="12"/>
  <c r="J26" i="10"/>
  <c r="K26" i="10" s="1"/>
  <c r="H26" i="10"/>
  <c r="B23" i="12"/>
  <c r="F32" i="10"/>
  <c r="H32" i="10" s="1"/>
  <c r="F28" i="10"/>
  <c r="F33" i="10"/>
  <c r="H33" i="10" s="1"/>
  <c r="F27" i="10"/>
  <c r="F12" i="10"/>
  <c r="H12" i="10" s="1"/>
  <c r="F18" i="10"/>
  <c r="H18" i="10" s="1"/>
  <c r="J12" i="8"/>
  <c r="K12" i="8" s="1"/>
  <c r="B27" i="12"/>
  <c r="B25" i="12"/>
  <c r="H24" i="10"/>
  <c r="J24" i="10"/>
  <c r="K24" i="10" s="1"/>
  <c r="C12" i="12"/>
  <c r="H8" i="12"/>
  <c r="C9" i="12"/>
  <c r="C11" i="12"/>
  <c r="C5" i="12"/>
  <c r="J40" i="9"/>
  <c r="J43" i="9" s="1"/>
  <c r="K43" i="9" s="1"/>
  <c r="J35" i="9"/>
  <c r="J38" i="9" s="1"/>
  <c r="K38" i="9" s="1"/>
  <c r="I8" i="10"/>
  <c r="E2" i="11"/>
  <c r="J30" i="9"/>
  <c r="K30" i="9" s="1"/>
  <c r="J21" i="8"/>
  <c r="K21" i="8" s="1"/>
  <c r="H21" i="8"/>
  <c r="K40" i="9"/>
  <c r="J42" i="9"/>
  <c r="K42" i="9" s="1"/>
  <c r="F6" i="9"/>
  <c r="J17" i="9" s="1"/>
  <c r="J18" i="9" s="1"/>
  <c r="F8" i="7"/>
  <c r="F23" i="9" s="1"/>
  <c r="F9" i="7"/>
  <c r="F26" i="9" s="1"/>
  <c r="F10" i="7"/>
  <c r="F28" i="9" s="1"/>
  <c r="J11" i="9"/>
  <c r="H11" i="9"/>
  <c r="F12" i="9"/>
  <c r="F13" i="9"/>
  <c r="F14" i="9"/>
  <c r="F15" i="9"/>
  <c r="H20" i="9"/>
  <c r="H21" i="9"/>
  <c r="H19" i="9"/>
  <c r="H18" i="9"/>
  <c r="H13" i="8"/>
  <c r="K15" i="8"/>
  <c r="H15" i="8"/>
  <c r="H12" i="8"/>
  <c r="H14" i="8"/>
  <c r="K14" i="8"/>
  <c r="H18" i="8"/>
  <c r="H33" i="9"/>
  <c r="E9" i="3"/>
  <c r="E5" i="3"/>
  <c r="E3" i="3"/>
  <c r="C3" i="3" s="1"/>
  <c r="C7" i="12" l="1"/>
  <c r="J41" i="9"/>
  <c r="K41" i="9" s="1"/>
  <c r="J29" i="10"/>
  <c r="K29" i="10" s="1"/>
  <c r="H22" i="10"/>
  <c r="J27" i="10"/>
  <c r="K27" i="10" s="1"/>
  <c r="B35" i="12"/>
  <c r="J33" i="9"/>
  <c r="K33" i="9" s="1"/>
  <c r="H27" i="10"/>
  <c r="K35" i="9"/>
  <c r="J31" i="9"/>
  <c r="K31" i="9" s="1"/>
  <c r="J22" i="8"/>
  <c r="K22" i="8" s="1"/>
  <c r="J23" i="8"/>
  <c r="K23" i="8" s="1"/>
  <c r="C8" i="12"/>
  <c r="B30" i="12"/>
  <c r="J23" i="10"/>
  <c r="K23" i="10" s="1"/>
  <c r="H23" i="10"/>
  <c r="B29" i="12"/>
  <c r="C6" i="12"/>
  <c r="B26" i="12"/>
  <c r="H29" i="10"/>
  <c r="H28" i="10"/>
  <c r="J28" i="10"/>
  <c r="K28" i="10" s="1"/>
  <c r="B31" i="12"/>
  <c r="B33" i="12"/>
  <c r="J32" i="9"/>
  <c r="K32" i="9" s="1"/>
  <c r="K8" i="10"/>
  <c r="J31" i="10" s="1"/>
  <c r="H7" i="12"/>
  <c r="C4" i="12" s="1"/>
  <c r="C50" i="12"/>
  <c r="C51" i="12"/>
  <c r="C49" i="12"/>
  <c r="J11" i="10"/>
  <c r="J16" i="10"/>
  <c r="C39" i="12"/>
  <c r="C38" i="12"/>
  <c r="C37" i="12"/>
  <c r="C35" i="12"/>
  <c r="C33" i="12"/>
  <c r="C34" i="12"/>
  <c r="J37" i="9"/>
  <c r="K37" i="9" s="1"/>
  <c r="J36" i="9"/>
  <c r="K36" i="9" s="1"/>
  <c r="C22" i="12"/>
  <c r="C23" i="12"/>
  <c r="C21" i="12"/>
  <c r="C47" i="12"/>
  <c r="C45" i="12"/>
  <c r="C46" i="12"/>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26" i="12" l="1"/>
  <c r="C27" i="12"/>
  <c r="C25" i="12"/>
  <c r="C30" i="12"/>
  <c r="C31" i="12"/>
  <c r="C29" i="12"/>
  <c r="C18" i="12"/>
  <c r="C17" i="12"/>
  <c r="C19" i="12"/>
  <c r="K31" i="10"/>
  <c r="J34" i="10"/>
  <c r="K34" i="10" s="1"/>
  <c r="J32" i="10"/>
  <c r="K32" i="10" s="1"/>
  <c r="J33" i="10"/>
  <c r="K33" i="10" s="1"/>
  <c r="J17" i="10"/>
  <c r="K17" i="10" s="1"/>
  <c r="J19" i="10"/>
  <c r="K19" i="10" s="1"/>
  <c r="K16" i="10"/>
  <c r="J18" i="10"/>
  <c r="K18" i="10" s="1"/>
  <c r="K11" i="10"/>
  <c r="J13" i="10"/>
  <c r="K13" i="10" s="1"/>
  <c r="J14" i="10"/>
  <c r="K14" i="10" s="1"/>
  <c r="J12" i="10"/>
  <c r="K12" i="10" s="1"/>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<sst xmlns="http://schemas.openxmlformats.org/spreadsheetml/2006/main" count="307" uniqueCount="195">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</sst>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3" xfId="0" applyBorder="1" applyAlignment="1">
      <alignment horizontal="center" wrapText="1"/>
    </xf>
    <xf numFmtId="0" fontId="0" fillId="0" borderId="10" xfId="0" applyBorder="1" applyAlignment="1">
      <alignment horizontal="center"/>
    </xf>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0" fillId="0" borderId="1" xfId="0" applyFill="1" applyBorder="1" applyAlignment="1">
      <alignment horizontal="right"/>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0" xfId="0" applyBorder="1" applyAlignment="1">
      <alignment horizontal="center" vertical="center" wrapText="1"/>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PL/JRC-IDEES-2015_Residential_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PL/JRC-IDEES-2015_Transport_P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5309.5358194207802</v>
          </cell>
        </row>
        <row r="162">
          <cell r="Q162">
            <v>455.44064743236152</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10717.663085421837</v>
          </cell>
        </row>
        <row r="56">
          <cell r="Q56">
            <v>29921.178763301239</v>
          </cell>
        </row>
      </sheetData>
      <sheetData sheetId="3">
        <row r="150">
          <cell r="Q150">
            <v>20.302539168017287</v>
          </cell>
        </row>
      </sheetData>
      <sheetData sheetId="4">
        <row r="62">
          <cell r="Q62">
            <v>3.9335634089168958</v>
          </cell>
        </row>
        <row r="64">
          <cell r="Q64">
            <v>6.9121532693415828</v>
          </cell>
        </row>
        <row r="65">
          <cell r="Q65">
            <v>5.951140182835216</v>
          </cell>
        </row>
        <row r="68">
          <cell r="Q68">
            <v>5.7913757816623068</v>
          </cell>
        </row>
        <row r="69">
          <cell r="Q69">
            <v>3.0435978620310391</v>
          </cell>
        </row>
        <row r="70">
          <cell r="Q70">
            <v>51.279943087257941</v>
          </cell>
        </row>
      </sheetData>
      <sheetData sheetId="5">
        <row r="48">
          <cell r="Q48">
            <v>2.7844989815877379</v>
          </cell>
        </row>
        <row r="49">
          <cell r="Q49">
            <v>2.9146537429273844</v>
          </cell>
        </row>
      </sheetData>
      <sheetData sheetId="6" refreshError="1"/>
      <sheetData sheetId="7">
        <row r="62">
          <cell r="Q62">
            <v>80.652358538095029</v>
          </cell>
        </row>
        <row r="63">
          <cell r="Q63">
            <v>122.46541777947665</v>
          </cell>
        </row>
        <row r="66">
          <cell r="Q66">
            <v>235.7530480344316</v>
          </cell>
        </row>
      </sheetData>
      <sheetData sheetId="8">
        <row r="31">
          <cell r="Q31">
            <v>35.721487489486627</v>
          </cell>
        </row>
        <row r="33">
          <cell r="Q33">
            <v>155.96838353176497</v>
          </cell>
        </row>
        <row r="34">
          <cell r="Q34">
            <v>115.36493093983353</v>
          </cell>
        </row>
        <row r="35">
          <cell r="Q35">
            <v>213.2719086277948</v>
          </cell>
        </row>
      </sheetData>
      <sheetData sheetId="9" refreshError="1"/>
      <sheetData sheetId="10">
        <row r="69">
          <cell r="Q69">
            <v>120.42213716028911</v>
          </cell>
        </row>
      </sheetData>
      <sheetData sheetId="11">
        <row r="37">
          <cell r="Q37">
            <v>2737.0193585742923</v>
          </cell>
        </row>
      </sheetData>
      <sheetData sheetId="12">
        <row r="41">
          <cell r="Q41">
            <v>8237.9037295061553</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455.44064743236152</v>
      </c>
      <c r="C3" s="6">
        <v>0.80300000000000005</v>
      </c>
      <c r="D3" s="2">
        <f>B3*$C3</f>
        <v>365.71883988818632</v>
      </c>
      <c r="E3" s="31">
        <v>1529.33</v>
      </c>
    </row>
    <row r="4" spans="1:5" x14ac:dyDescent="0.3">
      <c r="A4" s="1" t="s">
        <v>5</v>
      </c>
      <c r="B4" s="6">
        <f>[1]RES_summary!$Q$157</f>
        <v>5309.5358194207802</v>
      </c>
      <c r="C4" s="6">
        <v>0.20200000000000001</v>
      </c>
      <c r="D4" s="29">
        <f>B4*$C4</f>
        <v>1072.5262355229977</v>
      </c>
      <c r="E4" s="31">
        <v>3246.2</v>
      </c>
    </row>
    <row r="5" spans="1:5" x14ac:dyDescent="0.3">
      <c r="A5" s="1" t="s">
        <v>6</v>
      </c>
      <c r="B5" s="2">
        <f>B3+B4</f>
        <v>5764.9764668531416</v>
      </c>
      <c r="C5" s="3" t="s">
        <v>7</v>
      </c>
      <c r="D5" s="29">
        <f>D3+D4</f>
        <v>1438.245075411184</v>
      </c>
      <c r="E5" s="31">
        <f>E3+E4</f>
        <v>4775.53</v>
      </c>
    </row>
    <row r="7" spans="1:5" x14ac:dyDescent="0.3">
      <c r="A7" t="s">
        <v>20</v>
      </c>
      <c r="B7" s="5">
        <v>38005614</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10717.663085421837</v>
      </c>
      <c r="C10" s="2">
        <f>B10*11630*1000/B7</f>
        <v>3279.6844614444581</v>
      </c>
      <c r="D10" s="6">
        <f>[2]Transport!$Q$56</f>
        <v>29921.178763301239</v>
      </c>
      <c r="E10" s="2">
        <f>D10*1000000/B7</f>
        <v>787.28313041597585</v>
      </c>
    </row>
    <row r="11" spans="1:5" x14ac:dyDescent="0.3">
      <c r="A11" s="39" t="s">
        <v>142</v>
      </c>
      <c r="B11" s="40">
        <f>B10*11630</f>
        <v>124646421.68345596</v>
      </c>
      <c r="C11" s="40" t="s">
        <v>143</v>
      </c>
      <c r="D11" s="40">
        <f>D10*1000</f>
        <v>29921178.763301238</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341.58048557427117</v>
      </c>
      <c r="C2" s="35">
        <f>E2*0.9</f>
        <v>409.89658268912535</v>
      </c>
      <c r="D2" s="35">
        <f>0.95*E2</f>
        <v>432.66861506074343</v>
      </c>
      <c r="E2" s="35">
        <f>'Cons and emi per capita'!B3</f>
        <v>455.44064743236152</v>
      </c>
      <c r="F2" s="35">
        <f>1.05*E2</f>
        <v>478.2126798039796</v>
      </c>
      <c r="G2" s="35">
        <f>1.25*E2</f>
        <v>569.30080929045187</v>
      </c>
      <c r="H2" s="12" t="s">
        <v>28</v>
      </c>
    </row>
    <row r="3" spans="1:8" x14ac:dyDescent="0.3">
      <c r="A3" s="1" t="s">
        <v>5</v>
      </c>
      <c r="B3" s="35">
        <f t="shared" ref="B3:B4" si="0">0.75*E3</f>
        <v>3982.1518645655851</v>
      </c>
      <c r="C3" s="35">
        <f t="shared" ref="C3:C4" si="1">E3*0.9</f>
        <v>4778.5822374787022</v>
      </c>
      <c r="D3" s="35">
        <f t="shared" ref="D3:D9" si="2">0.95*E3</f>
        <v>5044.0590284497412</v>
      </c>
      <c r="E3" s="17">
        <f>'Cons and emi per capita'!B4</f>
        <v>5309.5358194207802</v>
      </c>
      <c r="F3" s="35">
        <f t="shared" ref="F3:F9" si="3">1.05*E3</f>
        <v>5575.0126103918192</v>
      </c>
      <c r="G3" s="35">
        <f t="shared" ref="G3:G4" si="4">1.25*E3</f>
        <v>6636.9197742759752</v>
      </c>
      <c r="H3" s="1" t="s">
        <v>28</v>
      </c>
    </row>
    <row r="4" spans="1:8" x14ac:dyDescent="0.3">
      <c r="A4" s="1" t="s">
        <v>18</v>
      </c>
      <c r="B4" s="35">
        <f t="shared" si="0"/>
        <v>4323.732350139856</v>
      </c>
      <c r="C4" s="35">
        <f t="shared" si="1"/>
        <v>5188.4788201678275</v>
      </c>
      <c r="D4" s="35">
        <f t="shared" si="2"/>
        <v>5476.7276435104841</v>
      </c>
      <c r="E4" s="17">
        <f>E2+E3</f>
        <v>5764.9764668531416</v>
      </c>
      <c r="F4" s="35">
        <f t="shared" si="3"/>
        <v>6053.2252901957991</v>
      </c>
      <c r="G4" s="35">
        <f t="shared" si="4"/>
        <v>7206.2205835664272</v>
      </c>
      <c r="H4" s="1" t="s">
        <v>28</v>
      </c>
    </row>
    <row r="5" spans="1:8" x14ac:dyDescent="0.3">
      <c r="A5" s="1" t="s">
        <v>33</v>
      </c>
      <c r="B5" s="17">
        <f>0.84*E5</f>
        <v>2754.9349476133448</v>
      </c>
      <c r="C5" s="35">
        <f>E5*0.91</f>
        <v>2984.5128599144568</v>
      </c>
      <c r="D5" s="35">
        <f t="shared" si="2"/>
        <v>3115.7002383722352</v>
      </c>
      <c r="E5" s="17">
        <f>'Cons and emi per capita'!C10</f>
        <v>3279.6844614444581</v>
      </c>
      <c r="F5" s="35">
        <f t="shared" si="3"/>
        <v>3443.668684516681</v>
      </c>
      <c r="G5" s="17">
        <f>1.16*E5</f>
        <v>3804.4339752755709</v>
      </c>
      <c r="H5" s="1" t="s">
        <v>28</v>
      </c>
    </row>
    <row r="6" spans="1:8" x14ac:dyDescent="0.3">
      <c r="A6" s="1" t="s">
        <v>29</v>
      </c>
      <c r="B6" s="17">
        <f>0.75*E6</f>
        <v>274.28912991613976</v>
      </c>
      <c r="C6" s="35">
        <f>E6*0.9</f>
        <v>329.1469558993677</v>
      </c>
      <c r="D6" s="35">
        <f t="shared" si="2"/>
        <v>347.43289789377701</v>
      </c>
      <c r="E6" s="17">
        <f>'Cons and emi per capita'!D3</f>
        <v>365.71883988818632</v>
      </c>
      <c r="F6" s="35">
        <f t="shared" si="3"/>
        <v>384.00478188259564</v>
      </c>
      <c r="G6" s="17">
        <f>1.25*E6</f>
        <v>457.14854986023289</v>
      </c>
      <c r="H6" s="1" t="s">
        <v>30</v>
      </c>
    </row>
    <row r="7" spans="1:8" x14ac:dyDescent="0.3">
      <c r="A7" s="1" t="s">
        <v>31</v>
      </c>
      <c r="B7" s="17">
        <f>0.75*E7</f>
        <v>804.39467664224821</v>
      </c>
      <c r="C7" s="35">
        <f t="shared" ref="C7:C8" si="5">E7*0.9</f>
        <v>965.27361197069797</v>
      </c>
      <c r="D7" s="35">
        <f t="shared" si="2"/>
        <v>1018.8999237468478</v>
      </c>
      <c r="E7" s="17">
        <f>'Cons and emi per capita'!D4</f>
        <v>1072.5262355229977</v>
      </c>
      <c r="F7" s="35">
        <f t="shared" si="3"/>
        <v>1126.1525472991477</v>
      </c>
      <c r="G7" s="17">
        <f t="shared" ref="G7:G8" si="6">1.25*E7</f>
        <v>1340.6577944037472</v>
      </c>
      <c r="H7" s="1" t="s">
        <v>30</v>
      </c>
    </row>
    <row r="8" spans="1:8" x14ac:dyDescent="0.3">
      <c r="A8" s="1" t="s">
        <v>32</v>
      </c>
      <c r="B8" s="17">
        <f t="shared" ref="B8" si="7">0.75*E8</f>
        <v>1078.6838065583879</v>
      </c>
      <c r="C8" s="35">
        <f t="shared" si="5"/>
        <v>1294.4205678700655</v>
      </c>
      <c r="D8" s="35">
        <f t="shared" si="2"/>
        <v>1366.3328216406246</v>
      </c>
      <c r="E8" s="17">
        <f>E6+E7</f>
        <v>1438.245075411184</v>
      </c>
      <c r="F8" s="35">
        <f t="shared" si="3"/>
        <v>1510.1573291817433</v>
      </c>
      <c r="G8" s="17">
        <f t="shared" si="6"/>
        <v>1797.80634426398</v>
      </c>
      <c r="H8" s="1" t="s">
        <v>30</v>
      </c>
    </row>
    <row r="9" spans="1:8" x14ac:dyDescent="0.3">
      <c r="A9" s="1" t="s">
        <v>34</v>
      </c>
      <c r="B9" s="17">
        <f>0.84*E9</f>
        <v>661.31782954941968</v>
      </c>
      <c r="C9" s="35">
        <f>E9*0.91</f>
        <v>716.42764867853805</v>
      </c>
      <c r="D9" s="35">
        <f t="shared" si="2"/>
        <v>747.91897389517703</v>
      </c>
      <c r="E9" s="17">
        <f>'Cons and emi per capita'!E10</f>
        <v>787.28313041597585</v>
      </c>
      <c r="F9" s="35">
        <f t="shared" si="3"/>
        <v>826.64728693677466</v>
      </c>
      <c r="G9" s="17">
        <f>1.16*E9</f>
        <v>913.2484312825319</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7078.6672977532007</v>
      </c>
      <c r="C13" s="37">
        <f t="shared" ref="C13:G13" si="8">SUM(C4:C5)</f>
        <v>8172.9916800822848</v>
      </c>
      <c r="D13" s="37">
        <f t="shared" si="8"/>
        <v>8592.4278818827188</v>
      </c>
      <c r="E13" s="37">
        <f t="shared" si="8"/>
        <v>9044.6609282975987</v>
      </c>
      <c r="F13" s="37">
        <f t="shared" si="8"/>
        <v>9496.8939747124805</v>
      </c>
      <c r="G13" s="37">
        <f t="shared" si="8"/>
        <v>11010.654558841998</v>
      </c>
    </row>
    <row r="14" spans="1:8" x14ac:dyDescent="0.3">
      <c r="B14" s="37">
        <f>SUM(B8:B9)</f>
        <v>1740.0016361078076</v>
      </c>
      <c r="C14" s="37">
        <f t="shared" ref="C14:G14" si="9">SUM(C8:C9)</f>
        <v>2010.8482165486034</v>
      </c>
      <c r="D14" s="37">
        <f t="shared" si="9"/>
        <v>2114.2517955358016</v>
      </c>
      <c r="E14" s="37">
        <f t="shared" si="9"/>
        <v>2225.5282058271596</v>
      </c>
      <c r="F14" s="37">
        <f t="shared" si="9"/>
        <v>2336.804616118518</v>
      </c>
      <c r="G14" s="37">
        <f t="shared" si="9"/>
        <v>2711.0547755465118</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10" zoomScale="90" zoomScaleNormal="90" workbookViewId="0">
      <selection activeCell="B34" sqref="B34"/>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57" t="s">
        <v>37</v>
      </c>
      <c r="B1" s="57"/>
      <c r="C1" s="57"/>
      <c r="D1" s="57"/>
      <c r="E1" s="57"/>
      <c r="G1" s="57" t="s">
        <v>75</v>
      </c>
      <c r="H1" s="57"/>
      <c r="I1" s="57"/>
      <c r="J1" s="57"/>
      <c r="K1" s="16"/>
    </row>
    <row r="2" spans="1:11" ht="28.2" customHeight="1" x14ac:dyDescent="0.3">
      <c r="A2" s="70" t="s">
        <v>64</v>
      </c>
      <c r="B2" s="70"/>
      <c r="C2" s="70"/>
      <c r="D2" s="70"/>
      <c r="E2" s="70"/>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1" t="s">
        <v>38</v>
      </c>
      <c r="B4" s="71"/>
      <c r="C4" s="71"/>
      <c r="D4" s="71"/>
      <c r="E4" s="71"/>
      <c r="G4" s="1" t="s">
        <v>81</v>
      </c>
      <c r="H4" s="1">
        <v>15.9</v>
      </c>
      <c r="I4" s="1">
        <v>50</v>
      </c>
      <c r="J4" s="1">
        <v>84.1</v>
      </c>
      <c r="K4" t="s">
        <v>78</v>
      </c>
    </row>
    <row r="5" spans="1:11" x14ac:dyDescent="0.3">
      <c r="A5" s="72" t="s">
        <v>39</v>
      </c>
      <c r="B5" s="72"/>
      <c r="C5" s="72"/>
      <c r="D5" s="72"/>
      <c r="E5" s="72"/>
      <c r="G5" s="1" t="s">
        <v>82</v>
      </c>
      <c r="H5" s="17">
        <f>H$4*I5/I$4</f>
        <v>6.4562074554294977</v>
      </c>
      <c r="I5" s="17">
        <f>B6</f>
        <v>20.302539168017287</v>
      </c>
      <c r="J5" s="17">
        <f>J$4*I5/I$4</f>
        <v>34.148870880605074</v>
      </c>
    </row>
    <row r="6" spans="1:11" x14ac:dyDescent="0.3">
      <c r="A6" s="1" t="s">
        <v>40</v>
      </c>
      <c r="B6" s="6">
        <f>[2]TrRoad_act!$Q$150</f>
        <v>20.302539168017287</v>
      </c>
      <c r="C6" s="1" t="s">
        <v>59</v>
      </c>
      <c r="D6" s="3" t="s">
        <v>7</v>
      </c>
      <c r="E6" s="1"/>
      <c r="G6" s="1" t="s">
        <v>83</v>
      </c>
      <c r="H6" s="17">
        <f t="shared" ref="H6:H8" si="0">H$4*I6/I$4</f>
        <v>25.647450015114217</v>
      </c>
      <c r="I6" s="17">
        <f>B20</f>
        <v>80.652358538095029</v>
      </c>
      <c r="J6" s="17">
        <f t="shared" ref="J6:J8" si="1">J$4*I6/I$4</f>
        <v>135.65726706107583</v>
      </c>
    </row>
    <row r="7" spans="1:11" x14ac:dyDescent="0.3">
      <c r="A7" s="72" t="s">
        <v>61</v>
      </c>
      <c r="B7" s="72"/>
      <c r="C7" s="72"/>
      <c r="D7" s="72"/>
      <c r="E7" s="72"/>
      <c r="G7" s="1" t="s">
        <v>84</v>
      </c>
      <c r="H7" s="17">
        <f t="shared" si="0"/>
        <v>38.944002853873577</v>
      </c>
      <c r="I7" s="17">
        <f>B21</f>
        <v>122.46541777947665</v>
      </c>
      <c r="J7" s="17">
        <f t="shared" si="1"/>
        <v>205.98683270507973</v>
      </c>
    </row>
    <row r="8" spans="1:11" x14ac:dyDescent="0.3">
      <c r="A8" s="1" t="s">
        <v>42</v>
      </c>
      <c r="B8" s="6">
        <f>[2]TrRoad_ene!$Q$62</f>
        <v>3.9335634089168958</v>
      </c>
      <c r="C8" s="70" t="s">
        <v>60</v>
      </c>
      <c r="D8" s="27">
        <f>B8*11.63/100</f>
        <v>0.45747342445703504</v>
      </c>
      <c r="E8" s="70" t="s">
        <v>41</v>
      </c>
      <c r="G8" s="1" t="s">
        <v>85</v>
      </c>
      <c r="H8" s="17">
        <f t="shared" si="0"/>
        <v>74.969469274949248</v>
      </c>
      <c r="I8" s="17">
        <f>B22</f>
        <v>235.7530480344316</v>
      </c>
      <c r="J8" s="17">
        <f t="shared" si="1"/>
        <v>396.53662679391391</v>
      </c>
    </row>
    <row r="9" spans="1:11" x14ac:dyDescent="0.3">
      <c r="A9" s="1" t="s">
        <v>43</v>
      </c>
      <c r="B9" s="3" t="s">
        <v>7</v>
      </c>
      <c r="C9" s="70"/>
      <c r="D9" s="3" t="s">
        <v>7</v>
      </c>
      <c r="E9" s="70"/>
    </row>
    <row r="10" spans="1:11" x14ac:dyDescent="0.3">
      <c r="A10" s="1" t="s">
        <v>44</v>
      </c>
      <c r="B10" s="6">
        <f>AVERAGE([2]TrRoad_ene!$Q$64:$Q$65)</f>
        <v>6.4316467260883989</v>
      </c>
      <c r="C10" s="70"/>
      <c r="D10" s="27">
        <f t="shared" ref="D10:D13" si="2">B10*11.63/100</f>
        <v>0.74800051424408087</v>
      </c>
      <c r="E10" s="70"/>
    </row>
    <row r="11" spans="1:11" x14ac:dyDescent="0.3">
      <c r="A11" s="1" t="s">
        <v>45</v>
      </c>
      <c r="B11" s="6">
        <f>[2]TrRoad_ene!$Q$68</f>
        <v>5.7913757816623068</v>
      </c>
      <c r="C11" s="70"/>
      <c r="D11" s="27">
        <f t="shared" si="2"/>
        <v>0.67353700340732625</v>
      </c>
      <c r="E11" s="70"/>
    </row>
    <row r="12" spans="1:11" x14ac:dyDescent="0.3">
      <c r="A12" s="1" t="s">
        <v>46</v>
      </c>
      <c r="B12" s="6">
        <f>[2]TrRoad_ene!$Q$69</f>
        <v>3.0435978620310391</v>
      </c>
      <c r="C12" s="70"/>
      <c r="D12" s="27">
        <f t="shared" si="2"/>
        <v>0.35397043135420986</v>
      </c>
      <c r="E12" s="70"/>
    </row>
    <row r="13" spans="1:11" x14ac:dyDescent="0.3">
      <c r="A13" s="1" t="s">
        <v>40</v>
      </c>
      <c r="B13" s="6">
        <f>[2]TrRoad_ene!$Q$70</f>
        <v>51.279943087257941</v>
      </c>
      <c r="C13" s="70"/>
      <c r="D13" s="27">
        <f t="shared" si="2"/>
        <v>5.9638573810480988</v>
      </c>
      <c r="E13" s="70"/>
    </row>
    <row r="14" spans="1:11" x14ac:dyDescent="0.3">
      <c r="A14" s="72" t="s">
        <v>63</v>
      </c>
      <c r="B14" s="72"/>
      <c r="C14" s="72"/>
      <c r="D14" s="72"/>
      <c r="E14" s="72"/>
    </row>
    <row r="15" spans="1:11" x14ac:dyDescent="0.3">
      <c r="A15" s="38" t="s">
        <v>145</v>
      </c>
      <c r="B15" s="6">
        <v>3.1</v>
      </c>
      <c r="C15" s="1" t="s">
        <v>62</v>
      </c>
      <c r="D15" s="28">
        <f>B15*1000/11630</f>
        <v>0.26655202063628547</v>
      </c>
      <c r="E15" s="1" t="s">
        <v>47</v>
      </c>
    </row>
    <row r="16" spans="1:11" x14ac:dyDescent="0.3">
      <c r="A16" s="1" t="s">
        <v>48</v>
      </c>
      <c r="B16" s="6">
        <f>AVERAGE([2]TrRoad_emi!$Q$48:$Q$49)</f>
        <v>2.8495763622575612</v>
      </c>
      <c r="C16" s="1" t="s">
        <v>62</v>
      </c>
      <c r="D16" s="28">
        <f>B16*1000/11630</f>
        <v>0.24501946365069313</v>
      </c>
      <c r="E16" s="1" t="s">
        <v>47</v>
      </c>
    </row>
    <row r="17" spans="1:5" x14ac:dyDescent="0.3">
      <c r="A17" s="1" t="s">
        <v>65</v>
      </c>
      <c r="B17" s="6">
        <v>0.72399999999999998</v>
      </c>
      <c r="C17" s="1" t="s">
        <v>47</v>
      </c>
      <c r="D17" s="2">
        <f>B17</f>
        <v>0.72399999999999998</v>
      </c>
      <c r="E17" s="1" t="s">
        <v>47</v>
      </c>
    </row>
    <row r="18" spans="1:5" x14ac:dyDescent="0.3">
      <c r="A18" s="58" t="s">
        <v>49</v>
      </c>
      <c r="B18" s="59"/>
      <c r="C18" s="59"/>
      <c r="D18" s="59"/>
      <c r="E18" s="60"/>
    </row>
    <row r="19" spans="1:5" x14ac:dyDescent="0.3">
      <c r="A19" s="61" t="s">
        <v>39</v>
      </c>
      <c r="B19" s="62"/>
      <c r="C19" s="62"/>
      <c r="D19" s="62"/>
      <c r="E19" s="63"/>
    </row>
    <row r="20" spans="1:5" x14ac:dyDescent="0.3">
      <c r="A20" s="1" t="s">
        <v>50</v>
      </c>
      <c r="B20" s="6">
        <f>[2]TrRail_act!$Q$62</f>
        <v>80.652358538095029</v>
      </c>
      <c r="C20" s="64" t="s">
        <v>59</v>
      </c>
      <c r="D20" s="3" t="s">
        <v>7</v>
      </c>
      <c r="E20" s="1"/>
    </row>
    <row r="21" spans="1:5" x14ac:dyDescent="0.3">
      <c r="A21" s="1" t="s">
        <v>51</v>
      </c>
      <c r="B21" s="6">
        <f>[2]TrRail_act!$Q$63</f>
        <v>122.46541777947665</v>
      </c>
      <c r="C21" s="65"/>
      <c r="D21" s="3" t="s">
        <v>7</v>
      </c>
      <c r="E21" s="1"/>
    </row>
    <row r="22" spans="1:5" x14ac:dyDescent="0.3">
      <c r="A22" s="1" t="s">
        <v>52</v>
      </c>
      <c r="B22" s="6">
        <f>[2]TrRail_act!$Q$66</f>
        <v>235.7530480344316</v>
      </c>
      <c r="C22" s="66"/>
      <c r="D22" s="3" t="s">
        <v>7</v>
      </c>
      <c r="E22" s="1"/>
    </row>
    <row r="23" spans="1:5" x14ac:dyDescent="0.3">
      <c r="A23" s="61" t="s">
        <v>53</v>
      </c>
      <c r="B23" s="62"/>
      <c r="C23" s="62"/>
      <c r="D23" s="62"/>
      <c r="E23" s="63"/>
    </row>
    <row r="24" spans="1:5" x14ac:dyDescent="0.3">
      <c r="A24" s="1" t="s">
        <v>50</v>
      </c>
      <c r="B24" s="6">
        <f>[2]TrRail_ene!$Q$31</f>
        <v>35.721487489486627</v>
      </c>
      <c r="C24" s="67" t="s">
        <v>60</v>
      </c>
      <c r="D24" s="2">
        <f>B24*11.63/100</f>
        <v>4.1544089950272953</v>
      </c>
      <c r="E24" s="67" t="s">
        <v>41</v>
      </c>
    </row>
    <row r="25" spans="1:5" x14ac:dyDescent="0.3">
      <c r="A25" s="1" t="s">
        <v>144</v>
      </c>
      <c r="B25" s="6">
        <f>[2]TrRail_ene!$Q$33</f>
        <v>155.96838353176497</v>
      </c>
      <c r="C25" s="68"/>
      <c r="D25" s="27">
        <f t="shared" ref="D25:D27" si="3">B25*11.63/100</f>
        <v>18.139123004744267</v>
      </c>
      <c r="E25" s="68"/>
    </row>
    <row r="26" spans="1:5" x14ac:dyDescent="0.3">
      <c r="A26" s="1" t="s">
        <v>51</v>
      </c>
      <c r="B26" s="6">
        <f>[2]TrRail_ene!$Q$34</f>
        <v>115.36493093983353</v>
      </c>
      <c r="C26" s="68"/>
      <c r="D26" s="27">
        <f t="shared" si="3"/>
        <v>13.416941468302641</v>
      </c>
      <c r="E26" s="68"/>
    </row>
    <row r="27" spans="1:5" x14ac:dyDescent="0.3">
      <c r="A27" s="1" t="s">
        <v>52</v>
      </c>
      <c r="B27" s="6">
        <f>[2]TrRail_ene!$Q$35</f>
        <v>213.2719086277948</v>
      </c>
      <c r="C27" s="69"/>
      <c r="D27" s="2">
        <f t="shared" si="3"/>
        <v>24.803522973412537</v>
      </c>
      <c r="E27" s="69"/>
    </row>
    <row r="28" spans="1:5" x14ac:dyDescent="0.3">
      <c r="A28" s="61" t="s">
        <v>63</v>
      </c>
      <c r="B28" s="62"/>
      <c r="C28" s="62"/>
      <c r="D28" s="62"/>
      <c r="E28" s="63"/>
    </row>
    <row r="29" spans="1:5" x14ac:dyDescent="0.3">
      <c r="A29" s="1" t="s">
        <v>65</v>
      </c>
      <c r="B29" s="26">
        <f>B17</f>
        <v>0.72399999999999998</v>
      </c>
      <c r="C29" s="1" t="s">
        <v>47</v>
      </c>
      <c r="D29" s="2">
        <f>B29</f>
        <v>0.72399999999999998</v>
      </c>
      <c r="E29" s="1" t="s">
        <v>47</v>
      </c>
    </row>
    <row r="30" spans="1:5" x14ac:dyDescent="0.3">
      <c r="A30" s="58" t="s">
        <v>54</v>
      </c>
      <c r="B30" s="59"/>
      <c r="C30" s="59"/>
      <c r="D30" s="59"/>
      <c r="E30" s="60"/>
    </row>
    <row r="31" spans="1:5" x14ac:dyDescent="0.3">
      <c r="A31" s="1" t="s">
        <v>68</v>
      </c>
      <c r="B31" s="6">
        <f>[2]TrAvia_act!$Q$69</f>
        <v>120.42213716028911</v>
      </c>
      <c r="C31" s="1" t="s">
        <v>67</v>
      </c>
      <c r="D31" s="3" t="s">
        <v>7</v>
      </c>
      <c r="E31" s="1"/>
    </row>
    <row r="32" spans="1:5" x14ac:dyDescent="0.3">
      <c r="A32" s="1" t="s">
        <v>72</v>
      </c>
      <c r="B32" s="6">
        <f>[2]TrAvia_ene!$Q$37</f>
        <v>2737.0193585742923</v>
      </c>
      <c r="C32" s="1" t="s">
        <v>69</v>
      </c>
      <c r="D32" s="28">
        <f>B32*11.63*10^(-3)/B31</f>
        <v>0.26433291993356117</v>
      </c>
      <c r="E32" s="1" t="s">
        <v>55</v>
      </c>
    </row>
    <row r="33" spans="1:5" x14ac:dyDescent="0.3">
      <c r="A33" s="1" t="s">
        <v>71</v>
      </c>
      <c r="B33" s="6">
        <f>[2]TrAvia_emi!$Q$41</f>
        <v>8237.9037295061553</v>
      </c>
      <c r="C33" s="1" t="s">
        <v>70</v>
      </c>
      <c r="D33" s="28">
        <f>B33/B31</f>
        <v>68.408549489044603</v>
      </c>
      <c r="E33" s="1" t="s">
        <v>56</v>
      </c>
    </row>
    <row r="35" spans="1:5" x14ac:dyDescent="0.3">
      <c r="A35" s="73" t="s">
        <v>73</v>
      </c>
      <c r="B35" s="74"/>
      <c r="C35" s="74"/>
      <c r="D35" s="74"/>
      <c r="E35" s="75"/>
    </row>
    <row r="36" spans="1:5" x14ac:dyDescent="0.3">
      <c r="A36" s="44" t="s">
        <v>74</v>
      </c>
      <c r="B36" s="45"/>
      <c r="C36" s="45"/>
      <c r="D36" s="45"/>
      <c r="E36" s="46"/>
    </row>
  </sheetData>
  <mergeCells count="20">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 ref="E8:E13"/>
    <mergeCell ref="A4:E4"/>
    <mergeCell ref="A5:E5"/>
    <mergeCell ref="A7:E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zoomScale="70" zoomScaleNormal="70" workbookViewId="0">
      <selection activeCell="H8" sqref="H8"/>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0.72399999999999998</v>
      </c>
    </row>
    <row r="4" spans="1:8" x14ac:dyDescent="0.3">
      <c r="A4" t="s">
        <v>87</v>
      </c>
      <c r="B4">
        <f>'Passenger transport data'!D13</f>
        <v>5.9638573810480988</v>
      </c>
      <c r="C4">
        <f>Tabla4[[#This Row],[ENERGY CONSUMPTION PER VEHICLE]]*H7</f>
        <v>1.9501755997371253</v>
      </c>
      <c r="G4" t="s">
        <v>165</v>
      </c>
      <c r="H4">
        <f>BUS!C16</f>
        <v>0.25021496130696474</v>
      </c>
    </row>
    <row r="5" spans="1:8" x14ac:dyDescent="0.3">
      <c r="A5" t="s">
        <v>179</v>
      </c>
      <c r="B5">
        <f>B4</f>
        <v>5.9638573810480988</v>
      </c>
      <c r="C5">
        <f>Tabla4[[#This Row],[ENERGY CONSUMPTION PER VEHICLE]]*H3</f>
        <v>4.3178327438788235</v>
      </c>
      <c r="G5" t="s">
        <v>180</v>
      </c>
      <c r="H5">
        <f>'Passenger transport data'!D15</f>
        <v>0.26655202063628547</v>
      </c>
    </row>
    <row r="6" spans="1:8" x14ac:dyDescent="0.3">
      <c r="A6" t="s">
        <v>181</v>
      </c>
      <c r="B6">
        <f>B4</f>
        <v>5.9638573810480988</v>
      </c>
      <c r="C6">
        <f>Tabla4[[#This Row],[ENERGY CONSUMPTION PER VEHICLE]]*H4</f>
        <v>1.4922463438392062</v>
      </c>
      <c r="G6" t="s">
        <v>182</v>
      </c>
      <c r="H6">
        <f>BUS!E5</f>
        <v>0.22800000000000001</v>
      </c>
    </row>
    <row r="7" spans="1:8" x14ac:dyDescent="0.3">
      <c r="A7" t="s">
        <v>191</v>
      </c>
      <c r="B7">
        <f>B4</f>
        <v>5.9638573810480988</v>
      </c>
      <c r="C7">
        <f>Tabla4[[#This Row],[ENERGY CONSUMPTION PER VEHICLE]]*H8</f>
        <v>2.9050395438590146</v>
      </c>
      <c r="G7" t="s">
        <v>184</v>
      </c>
      <c r="H7">
        <f>BUS!E2</f>
        <v>0.32699903353396387</v>
      </c>
    </row>
    <row r="8" spans="1:8" x14ac:dyDescent="0.3">
      <c r="A8" t="s">
        <v>183</v>
      </c>
      <c r="B8">
        <f>B4</f>
        <v>5.9638573810480988</v>
      </c>
      <c r="C8">
        <f>Tabla4[[#This Row],[ENERGY CONSUMPTION PER VEHICLE]]*H6</f>
        <v>1.3597594828789665</v>
      </c>
      <c r="G8" t="s">
        <v>192</v>
      </c>
      <c r="H8">
        <f>0.5*H3+0.5*H4</f>
        <v>0.48710748065348236</v>
      </c>
    </row>
    <row r="9" spans="1:8" x14ac:dyDescent="0.3">
      <c r="A9" t="s">
        <v>185</v>
      </c>
      <c r="B9">
        <f>'Passenger transport data'!D26</f>
        <v>13.416941468302641</v>
      </c>
      <c r="C9">
        <f>Tabla4[[#This Row],[ENERGY CONSUMPTION PER VEHICLE]]*H3</f>
        <v>9.7138656230511113</v>
      </c>
    </row>
    <row r="10" spans="1:8" x14ac:dyDescent="0.3">
      <c r="A10" t="s">
        <v>146</v>
      </c>
      <c r="B10">
        <f>'Passenger transport data'!D25</f>
        <v>18.139123004744267</v>
      </c>
      <c r="C10">
        <f>Tabla4[[#This Row],[ENERGY CONSUMPTION PER VEHICLE]]*H5</f>
        <v>4.8350198894847143</v>
      </c>
    </row>
    <row r="11" spans="1:8" x14ac:dyDescent="0.3">
      <c r="A11" t="s">
        <v>103</v>
      </c>
      <c r="B11">
        <f>'Passenger transport data'!D27</f>
        <v>24.803522973412537</v>
      </c>
      <c r="C11">
        <f>Tabla4[[#This Row],[ENERGY CONSUMPTION PER VEHICLE]]*H3</f>
        <v>17.957750632750678</v>
      </c>
    </row>
    <row r="12" spans="1:8" x14ac:dyDescent="0.3">
      <c r="A12" t="s">
        <v>186</v>
      </c>
      <c r="B12">
        <f>'Passenger transport data'!D24</f>
        <v>4.1544089950272953</v>
      </c>
      <c r="C12">
        <f>Tabla4[[#This Row],[ENERGY CONSUMPTION PER VEHICLE]]*H3</f>
        <v>3.0077921123997617</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6.4562074554294977</v>
      </c>
      <c r="B17">
        <f>B4/Tabla5[[#This Row],[LEVEL OF OCCUPANCY]]</f>
        <v>0.92374004742252425</v>
      </c>
      <c r="C17">
        <f>C4/Tabla5[[#This Row],[LEVEL OF OCCUPANCY]]</f>
        <v>0.30206210274378337</v>
      </c>
    </row>
    <row r="18" spans="1:3" x14ac:dyDescent="0.3">
      <c r="A18" s="37">
        <f>'Passenger transport data'!I5</f>
        <v>20.302539168017287</v>
      </c>
      <c r="B18">
        <f>B4/Tabla5[[#This Row],[LEVEL OF OCCUPANCY]]</f>
        <v>0.29374933508036272</v>
      </c>
      <c r="C18">
        <f>C4/Tabla5[[#This Row],[LEVEL OF OCCUPANCY]]</f>
        <v>9.6055748672523131E-2</v>
      </c>
    </row>
    <row r="19" spans="1:3" x14ac:dyDescent="0.3">
      <c r="A19" s="37">
        <f>'Passenger transport data'!J5</f>
        <v>34.148870880605074</v>
      </c>
      <c r="B19">
        <f>B4/Tabla5[[#This Row],[LEVEL OF OCCUPANCY]]</f>
        <v>0.17464288649248677</v>
      </c>
      <c r="C19">
        <f>C4/Tabla5[[#This Row],[LEVEL OF OCCUPANCY]]</f>
        <v>5.7108055096624928E-2</v>
      </c>
    </row>
    <row r="20" spans="1:3" x14ac:dyDescent="0.3">
      <c r="A20" t="s">
        <v>179</v>
      </c>
    </row>
    <row r="21" spans="1:3" x14ac:dyDescent="0.3">
      <c r="A21" s="37">
        <f>A17</f>
        <v>6.4562074554294977</v>
      </c>
      <c r="B21">
        <f>B5/Tabla5[[#This Row],[LEVEL OF OCCUPANCY]]</f>
        <v>0.92374004742252425</v>
      </c>
      <c r="C21">
        <f>C5/Tabla5[[#This Row],[LEVEL OF OCCUPANCY]]</f>
        <v>0.66878779433390756</v>
      </c>
    </row>
    <row r="22" spans="1:3" x14ac:dyDescent="0.3">
      <c r="A22" s="37">
        <f>A18</f>
        <v>20.302539168017287</v>
      </c>
      <c r="B22">
        <f>B5/Tabla5[[#This Row],[LEVEL OF OCCUPANCY]]</f>
        <v>0.29374933508036272</v>
      </c>
      <c r="C22">
        <f>C5/Tabla5[[#This Row],[LEVEL OF OCCUPANCY]]</f>
        <v>0.21267451859818262</v>
      </c>
    </row>
    <row r="23" spans="1:3" x14ac:dyDescent="0.3">
      <c r="A23" s="37">
        <f>A19</f>
        <v>34.148870880605074</v>
      </c>
      <c r="B23">
        <f>B5/Tabla5[[#This Row],[LEVEL OF OCCUPANCY]]</f>
        <v>0.17464288649248677</v>
      </c>
      <c r="C23">
        <f>C5/Tabla5[[#This Row],[LEVEL OF OCCUPANCY]]</f>
        <v>0.12644144982056044</v>
      </c>
    </row>
    <row r="24" spans="1:3" x14ac:dyDescent="0.3">
      <c r="A24" t="s">
        <v>181</v>
      </c>
    </row>
    <row r="25" spans="1:3" x14ac:dyDescent="0.3">
      <c r="A25" s="37">
        <f>A17</f>
        <v>6.4562074554294977</v>
      </c>
      <c r="B25">
        <f>B6/Tabla5[[#This Row],[LEVEL OF OCCUPANCY]]</f>
        <v>0.92374004742252425</v>
      </c>
      <c r="C25">
        <f>C6/Tabla5[[#This Row],[LEVEL OF OCCUPANCY]]</f>
        <v>0.23113358022352068</v>
      </c>
    </row>
    <row r="26" spans="1:3" x14ac:dyDescent="0.3">
      <c r="A26" s="37">
        <f>A18</f>
        <v>20.302539168017287</v>
      </c>
      <c r="B26">
        <f>B6/Tabla5[[#This Row],[LEVEL OF OCCUPANCY]]</f>
        <v>0.29374933508036272</v>
      </c>
      <c r="C26">
        <f>C6/Tabla5[[#This Row],[LEVEL OF OCCUPANCY]]</f>
        <v>7.3500478511079589E-2</v>
      </c>
    </row>
    <row r="27" spans="1:3" x14ac:dyDescent="0.3">
      <c r="A27" s="37">
        <f>A19</f>
        <v>34.148870880605074</v>
      </c>
      <c r="B27">
        <f>B6/Tabla5[[#This Row],[LEVEL OF OCCUPANCY]]</f>
        <v>0.17464288649248677</v>
      </c>
      <c r="C27">
        <f>C6/Tabla5[[#This Row],[LEVEL OF OCCUPANCY]]</f>
        <v>4.3698263086254213E-2</v>
      </c>
    </row>
    <row r="28" spans="1:3" x14ac:dyDescent="0.3">
      <c r="A28" s="37" t="s">
        <v>183</v>
      </c>
    </row>
    <row r="29" spans="1:3" x14ac:dyDescent="0.3">
      <c r="A29" s="37">
        <f>A17</f>
        <v>6.4562074554294977</v>
      </c>
      <c r="B29">
        <f>B8/Tabla5[[#This Row],[LEVEL OF OCCUPANCY]]</f>
        <v>0.92374004742252425</v>
      </c>
      <c r="C29">
        <f>C8/Tabla5[[#This Row],[LEVEL OF OCCUPANCY]]</f>
        <v>0.21061273081233553</v>
      </c>
    </row>
    <row r="30" spans="1:3" x14ac:dyDescent="0.3">
      <c r="A30" s="37">
        <f>A18</f>
        <v>20.302539168017287</v>
      </c>
      <c r="B30">
        <f>B8/Tabla5[[#This Row],[LEVEL OF OCCUPANCY]]</f>
        <v>0.29374933508036272</v>
      </c>
      <c r="C30">
        <f>C8/Tabla5[[#This Row],[LEVEL OF OCCUPANCY]]</f>
        <v>6.6974848398322698E-2</v>
      </c>
    </row>
    <row r="31" spans="1:3" x14ac:dyDescent="0.3">
      <c r="A31" s="37">
        <f>A19</f>
        <v>34.148870880605074</v>
      </c>
      <c r="B31">
        <f>B8/Tabla5[[#This Row],[LEVEL OF OCCUPANCY]]</f>
        <v>0.17464288649248677</v>
      </c>
      <c r="C31">
        <f>C8/Tabla5[[#This Row],[LEVEL OF OCCUPANCY]]</f>
        <v>3.9818578120286982E-2</v>
      </c>
    </row>
    <row r="32" spans="1:3" x14ac:dyDescent="0.3">
      <c r="A32" s="37" t="s">
        <v>191</v>
      </c>
    </row>
    <row r="33" spans="1:3" x14ac:dyDescent="0.3">
      <c r="A33" s="37">
        <f>A17</f>
        <v>6.4562074554294977</v>
      </c>
      <c r="B33">
        <f>B7/Tabla5[[#This Row],[LEVEL OF OCCUPANCY]]</f>
        <v>0.92374004742252425</v>
      </c>
      <c r="C33">
        <f>C7/Tabla5[[#This Row],[LEVEL OF OCCUPANCY]]</f>
        <v>0.44996068727871408</v>
      </c>
    </row>
    <row r="34" spans="1:3" x14ac:dyDescent="0.3">
      <c r="A34" s="37">
        <f>A18</f>
        <v>20.302539168017287</v>
      </c>
      <c r="B34">
        <f>B7/Tabla5[[#This Row],[LEVEL OF OCCUPANCY]]</f>
        <v>0.29374933508036272</v>
      </c>
      <c r="C34">
        <f>C7/Tabla5[[#This Row],[LEVEL OF OCCUPANCY]]</f>
        <v>0.1430874985546311</v>
      </c>
    </row>
    <row r="35" spans="1:3" x14ac:dyDescent="0.3">
      <c r="A35" s="37">
        <f>A19</f>
        <v>34.148870880605074</v>
      </c>
      <c r="B35">
        <f>B7/Tabla5[[#This Row],[LEVEL OF OCCUPANCY]]</f>
        <v>0.17464288649248677</v>
      </c>
      <c r="C35">
        <f>C7/Tabla5[[#This Row],[LEVEL OF OCCUPANCY]]</f>
        <v>8.5069856453407311E-2</v>
      </c>
    </row>
    <row r="36" spans="1:3" x14ac:dyDescent="0.3">
      <c r="A36" t="s">
        <v>185</v>
      </c>
    </row>
    <row r="37" spans="1:3" x14ac:dyDescent="0.3">
      <c r="A37" s="37">
        <f>'Passenger transport data'!H7</f>
        <v>38.944002853873577</v>
      </c>
      <c r="B37">
        <f>B9/Tabla5[[#This Row],[LEVEL OF OCCUPANCY]]</f>
        <v>0.34451880867629198</v>
      </c>
      <c r="C37">
        <f>C9/Tabla5[[#This Row],[LEVEL OF OCCUPANCY]]</f>
        <v>0.24943161748163539</v>
      </c>
    </row>
    <row r="38" spans="1:3" x14ac:dyDescent="0.3">
      <c r="A38" s="37">
        <f>'Passenger transport data'!I7</f>
        <v>122.46541777947665</v>
      </c>
      <c r="B38">
        <f>B9/Tabla5[[#This Row],[LEVEL OF OCCUPANCY]]</f>
        <v>0.10955698115906086</v>
      </c>
      <c r="C38">
        <f>C9/Tabla5[[#This Row],[LEVEL OF OCCUPANCY]]</f>
        <v>7.9319254359160055E-2</v>
      </c>
    </row>
    <row r="39" spans="1:3" x14ac:dyDescent="0.3">
      <c r="A39" s="37">
        <f>'Passenger transport data'!J7</f>
        <v>205.98683270507973</v>
      </c>
      <c r="B39">
        <f>B9/Tabla5[[#This Row],[LEVEL OF OCCUPANCY]]</f>
        <v>6.5134947181367933E-2</v>
      </c>
      <c r="C39">
        <f>C9/Tabla5[[#This Row],[LEVEL OF OCCUPANCY]]</f>
        <v>4.7157701759310382E-2</v>
      </c>
    </row>
    <row r="40" spans="1:3" x14ac:dyDescent="0.3">
      <c r="A40" t="s">
        <v>146</v>
      </c>
    </row>
    <row r="41" spans="1:3" x14ac:dyDescent="0.3">
      <c r="A41" s="37">
        <f>A37</f>
        <v>38.944002853873577</v>
      </c>
      <c r="B41">
        <f>B10/Tabla5[[#This Row],[LEVEL OF OCCUPANCY]]</f>
        <v>0.46577448838030922</v>
      </c>
      <c r="C41">
        <f>C10/Tabla5[[#This Row],[LEVEL OF OCCUPANCY]]</f>
        <v>0.12415313103860348</v>
      </c>
    </row>
    <row r="42" spans="1:3" x14ac:dyDescent="0.3">
      <c r="A42" s="37">
        <f>A38</f>
        <v>122.46541777947665</v>
      </c>
      <c r="B42">
        <f>B10/Tabla5[[#This Row],[LEVEL OF OCCUPANCY]]</f>
        <v>0.14811628730493834</v>
      </c>
      <c r="C42">
        <f>C10/Tabla5[[#This Row],[LEVEL OF OCCUPANCY]]</f>
        <v>3.9480695670275907E-2</v>
      </c>
    </row>
    <row r="43" spans="1:3" x14ac:dyDescent="0.3">
      <c r="A43" s="37">
        <f>A39</f>
        <v>205.98683270507973</v>
      </c>
      <c r="B43">
        <f>B10/Tabla5[[#This Row],[LEVEL OF OCCUPANCY]]</f>
        <v>8.8059623843601859E-2</v>
      </c>
      <c r="C43">
        <f>C10/Tabla5[[#This Row],[LEVEL OF OCCUPANCY]]</f>
        <v>2.3472470671983298E-2</v>
      </c>
    </row>
    <row r="44" spans="1:3" x14ac:dyDescent="0.3">
      <c r="A44" s="37" t="s">
        <v>103</v>
      </c>
    </row>
    <row r="45" spans="1:3" x14ac:dyDescent="0.3">
      <c r="A45" s="37">
        <f>'Passenger transport data'!H8</f>
        <v>74.969469274949248</v>
      </c>
      <c r="B45">
        <f>B11/Tabla5[[#This Row],[LEVEL OF OCCUPANCY]]</f>
        <v>0.33084832016678739</v>
      </c>
      <c r="C45">
        <f>C11/Tabla5[[#This Row],[LEVEL OF OCCUPANCY]]</f>
        <v>0.23953418380075406</v>
      </c>
    </row>
    <row r="46" spans="1:3" x14ac:dyDescent="0.3">
      <c r="A46" s="37">
        <f>'Passenger transport data'!I8</f>
        <v>235.7530480344316</v>
      </c>
      <c r="B46">
        <f>B11/Tabla5[[#This Row],[LEVEL OF OCCUPANCY]]</f>
        <v>0.10520976581303838</v>
      </c>
      <c r="C46">
        <f>C11/Tabla5[[#This Row],[LEVEL OF OCCUPANCY]]</f>
        <v>7.6171870448639795E-2</v>
      </c>
    </row>
    <row r="47" spans="1:3" x14ac:dyDescent="0.3">
      <c r="A47" s="37">
        <f>'Passenger transport data'!J8</f>
        <v>396.53662679391391</v>
      </c>
      <c r="B47">
        <f>B11/Tabla5[[#This Row],[LEVEL OF OCCUPANCY]]</f>
        <v>6.2550395846039469E-2</v>
      </c>
      <c r="C47">
        <f>C11/Tabla5[[#This Row],[LEVEL OF OCCUPANCY]]</f>
        <v>4.5286486592532579E-2</v>
      </c>
    </row>
    <row r="48" spans="1:3" x14ac:dyDescent="0.3">
      <c r="A48" t="s">
        <v>186</v>
      </c>
    </row>
    <row r="49" spans="1:3" x14ac:dyDescent="0.3">
      <c r="A49" s="37">
        <f>'Passenger transport data'!H6</f>
        <v>25.647450015114217</v>
      </c>
      <c r="B49">
        <f>B12/Tabla5[[#This Row],[LEVEL OF OCCUPANCY]]</f>
        <v>0.1619813662792626</v>
      </c>
      <c r="C49">
        <f>C12/Tabla5[[#This Row],[LEVEL OF OCCUPANCY]]</f>
        <v>0.11727450918618612</v>
      </c>
    </row>
    <row r="50" spans="1:3" x14ac:dyDescent="0.3">
      <c r="A50" s="37">
        <f>'Passenger transport data'!I6</f>
        <v>80.652358538095029</v>
      </c>
      <c r="B50">
        <f>B12/Tabla5[[#This Row],[LEVEL OF OCCUPANCY]]</f>
        <v>5.1510074476805508E-2</v>
      </c>
      <c r="C50">
        <f>C12/Tabla5[[#This Row],[LEVEL OF OCCUPANCY]]</f>
        <v>3.7293293921207185E-2</v>
      </c>
    </row>
    <row r="51" spans="1:3" x14ac:dyDescent="0.3">
      <c r="A51" s="37">
        <f>'Passenger transport data'!J6</f>
        <v>135.65726706107583</v>
      </c>
      <c r="B51">
        <f>B12/Tabla5[[#This Row],[LEVEL OF OCCUPANCY]]</f>
        <v>3.0624301115817782E-2</v>
      </c>
      <c r="C51">
        <f>C12/Tabla5[[#This Row],[LEVEL OF OCCUPANCY]]</f>
        <v>2.2171994007852074E-2</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tabSelected="1"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16.399999999999999</v>
      </c>
      <c r="E2">
        <f>(Tabla1[[#This Row],[% fuel used for buses]]*C10+C3*((C11+C10)/2)+C4*((C12+C13+C14)/3)+C5*C15+C6*C16)/100</f>
        <v>0.32699903353396387</v>
      </c>
      <c r="F2" t="s">
        <v>47</v>
      </c>
    </row>
    <row r="3" spans="2:6" x14ac:dyDescent="0.3">
      <c r="B3" t="s">
        <v>161</v>
      </c>
      <c r="C3">
        <v>0.8</v>
      </c>
    </row>
    <row r="4" spans="2:6" x14ac:dyDescent="0.3">
      <c r="B4" t="s">
        <v>162</v>
      </c>
      <c r="C4">
        <v>11.5</v>
      </c>
      <c r="E4" t="s">
        <v>163</v>
      </c>
    </row>
    <row r="5" spans="2:6" x14ac:dyDescent="0.3">
      <c r="B5" t="s">
        <v>164</v>
      </c>
      <c r="C5">
        <v>0</v>
      </c>
      <c r="E5">
        <f>(C12+C13+C14)/3</f>
        <v>0.22800000000000001</v>
      </c>
      <c r="F5" t="s">
        <v>47</v>
      </c>
    </row>
    <row r="6" spans="2:6" x14ac:dyDescent="0.3">
      <c r="B6" t="s">
        <v>165</v>
      </c>
      <c r="C6">
        <v>71.2</v>
      </c>
    </row>
    <row r="9" spans="2:6" x14ac:dyDescent="0.3">
      <c r="B9" t="s">
        <v>166</v>
      </c>
      <c r="C9" t="s">
        <v>167</v>
      </c>
    </row>
    <row r="10" spans="2:6" x14ac:dyDescent="0.3">
      <c r="B10" t="s">
        <v>168</v>
      </c>
      <c r="C10">
        <f>'Passenger transport data'!D17</f>
        <v>0.72399999999999998</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2.78*1000/11630</f>
        <v>0.23903697334479793</v>
      </c>
    </row>
    <row r="16" spans="2:6" x14ac:dyDescent="0.3">
      <c r="B16" t="s">
        <v>165</v>
      </c>
      <c r="C16">
        <f>2.91*1000/11630</f>
        <v>0.25021496130696474</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76" t="s">
        <v>122</v>
      </c>
      <c r="C2" s="77"/>
      <c r="D2" s="77"/>
      <c r="E2" s="77"/>
      <c r="F2" s="77"/>
      <c r="G2" s="78"/>
      <c r="H2" s="76" t="s">
        <v>123</v>
      </c>
      <c r="I2" s="77"/>
      <c r="J2" s="77"/>
      <c r="K2" s="77"/>
      <c r="L2" s="77"/>
      <c r="M2" s="78"/>
    </row>
    <row r="3" spans="1:13" x14ac:dyDescent="0.3">
      <c r="B3" s="19" t="s">
        <v>104</v>
      </c>
      <c r="G3" s="20"/>
      <c r="H3" s="19" t="s">
        <v>104</v>
      </c>
      <c r="M3" s="20"/>
    </row>
    <row r="4" spans="1:13" x14ac:dyDescent="0.3">
      <c r="B4" s="79" t="s">
        <v>106</v>
      </c>
      <c r="C4">
        <v>4.0000000000000001E-3</v>
      </c>
      <c r="D4" t="s">
        <v>105</v>
      </c>
      <c r="E4" s="80" t="s">
        <v>112</v>
      </c>
      <c r="G4" s="20"/>
      <c r="H4" s="79" t="s">
        <v>106</v>
      </c>
      <c r="I4">
        <f>0.85/100</f>
        <v>8.5000000000000006E-3</v>
      </c>
      <c r="J4" t="s">
        <v>86</v>
      </c>
      <c r="K4" s="41" t="s">
        <v>112</v>
      </c>
      <c r="L4" s="23" t="s">
        <v>132</v>
      </c>
      <c r="M4" s="24"/>
    </row>
    <row r="5" spans="1:13" x14ac:dyDescent="0.3">
      <c r="B5" s="79"/>
      <c r="C5">
        <f>C4*10</f>
        <v>0.04</v>
      </c>
      <c r="D5" t="s">
        <v>86</v>
      </c>
      <c r="E5" s="80"/>
      <c r="F5" t="s">
        <v>149</v>
      </c>
      <c r="G5" s="20">
        <f>BUS!C15*1000</f>
        <v>239.03697334479793</v>
      </c>
      <c r="H5" s="79"/>
      <c r="K5" s="41" t="s">
        <v>150</v>
      </c>
      <c r="L5" s="9" t="s">
        <v>133</v>
      </c>
      <c r="M5" s="20"/>
    </row>
    <row r="6" spans="1:13" x14ac:dyDescent="0.3">
      <c r="B6" s="79"/>
      <c r="C6">
        <v>0.1</v>
      </c>
      <c r="D6" t="s">
        <v>66</v>
      </c>
      <c r="E6" s="80"/>
      <c r="G6" t="s">
        <v>108</v>
      </c>
      <c r="H6" s="79"/>
      <c r="I6">
        <f>2.8/100</f>
        <v>2.7999999999999997E-2</v>
      </c>
      <c r="J6" t="s">
        <v>66</v>
      </c>
      <c r="K6" s="41">
        <f>BUS!E5*1000</f>
        <v>228</v>
      </c>
      <c r="L6" s="9">
        <f>'Passenger transport data'!D16*1000</f>
        <v>245.01946365069313</v>
      </c>
      <c r="M6" s="20" t="s">
        <v>108</v>
      </c>
    </row>
    <row r="7" spans="1:13" x14ac:dyDescent="0.3">
      <c r="B7" s="19" t="s">
        <v>110</v>
      </c>
      <c r="C7">
        <v>80</v>
      </c>
      <c r="D7" t="s">
        <v>111</v>
      </c>
      <c r="E7" s="80"/>
      <c r="G7" s="20"/>
      <c r="H7" s="19" t="s">
        <v>110</v>
      </c>
      <c r="I7">
        <v>70</v>
      </c>
      <c r="J7" t="s">
        <v>111</v>
      </c>
      <c r="K7" s="42" t="s">
        <v>151</v>
      </c>
      <c r="L7" s="47" t="s">
        <v>134</v>
      </c>
      <c r="M7" s="81"/>
    </row>
    <row r="8" spans="1:13" ht="15" thickBot="1" x14ac:dyDescent="0.35">
      <c r="A8" s="84" t="s">
        <v>109</v>
      </c>
      <c r="B8" s="21" t="s">
        <v>107</v>
      </c>
      <c r="C8" s="22">
        <f>F8</f>
        <v>250.21496130696474</v>
      </c>
      <c r="D8" s="22" t="s">
        <v>108</v>
      </c>
      <c r="E8" s="22" t="s">
        <v>147</v>
      </c>
      <c r="F8" s="22">
        <f>BUS!C16*1000</f>
        <v>250.21496130696474</v>
      </c>
      <c r="G8" s="22" t="s">
        <v>108</v>
      </c>
      <c r="H8" s="21" t="s">
        <v>131</v>
      </c>
      <c r="I8" s="22">
        <f>BUS!C10*1000</f>
        <v>724</v>
      </c>
      <c r="J8" s="22" t="s">
        <v>108</v>
      </c>
      <c r="K8" s="43">
        <f>BUS!E2*1000</f>
        <v>326.99903353396388</v>
      </c>
      <c r="L8" s="82"/>
      <c r="M8" s="83"/>
    </row>
    <row r="9" spans="1:13" x14ac:dyDescent="0.3">
      <c r="A9" s="56"/>
      <c r="B9" s="11" t="s">
        <v>113</v>
      </c>
      <c r="C9" s="85" t="s">
        <v>114</v>
      </c>
      <c r="D9" s="85"/>
      <c r="E9" s="85"/>
      <c r="F9" s="85" t="s">
        <v>115</v>
      </c>
      <c r="G9" s="85"/>
      <c r="H9" s="1" t="s">
        <v>116</v>
      </c>
      <c r="I9" s="1" t="s">
        <v>118</v>
      </c>
      <c r="J9" s="1" t="s">
        <v>119</v>
      </c>
      <c r="K9" s="1" t="s">
        <v>117</v>
      </c>
    </row>
    <row r="10" spans="1:13" x14ac:dyDescent="0.3">
      <c r="A10" s="86" t="s">
        <v>152</v>
      </c>
      <c r="B10" s="86"/>
      <c r="C10" s="86"/>
      <c r="D10" s="86"/>
      <c r="E10" s="86"/>
      <c r="F10" s="86"/>
      <c r="G10" s="86"/>
      <c r="H10" s="86"/>
      <c r="I10" s="86"/>
      <c r="J10" s="86"/>
      <c r="K10" s="86"/>
    </row>
    <row r="11" spans="1:13" x14ac:dyDescent="0.3">
      <c r="A11" s="1">
        <v>1</v>
      </c>
      <c r="B11" s="1">
        <v>0</v>
      </c>
      <c r="C11" s="87">
        <f>C$5*B11/100</f>
        <v>0</v>
      </c>
      <c r="D11" s="87"/>
      <c r="E11" s="87"/>
      <c r="F11" s="87">
        <f>'Passenger transport data'!D13</f>
        <v>5.9638573810480988</v>
      </c>
      <c r="G11" s="87"/>
      <c r="H11" s="30">
        <f>F11/A11</f>
        <v>5.9638573810480988</v>
      </c>
      <c r="I11" s="1">
        <v>0</v>
      </c>
      <c r="J11" s="1">
        <f>I$8*F11</f>
        <v>4317.8327438788237</v>
      </c>
      <c r="K11" s="30">
        <f>J11/A11</f>
        <v>4317.8327438788237</v>
      </c>
    </row>
    <row r="12" spans="1:13" x14ac:dyDescent="0.3">
      <c r="A12" s="18">
        <f>'Passenger transport data'!H5</f>
        <v>6.4562074554294977</v>
      </c>
      <c r="B12" s="1">
        <f>C$7*A12</f>
        <v>516.49659643435984</v>
      </c>
      <c r="C12" s="87">
        <f>I$4*B12/100</f>
        <v>4.3902210696920588E-2</v>
      </c>
      <c r="D12" s="87"/>
      <c r="E12" s="87"/>
      <c r="F12" s="87">
        <f>F$11+C12</f>
        <v>6.0077595917450193</v>
      </c>
      <c r="G12" s="87"/>
      <c r="H12" s="27">
        <f t="shared" ref="H12:H14" si="0">F12/A12</f>
        <v>0.93054004742252427</v>
      </c>
      <c r="I12" s="1">
        <f>I$6*B12</f>
        <v>14.461904700162075</v>
      </c>
      <c r="J12" s="1">
        <f>F12*(I12+J$11)</f>
        <v>26027.384729266021</v>
      </c>
      <c r="K12" s="27">
        <f>J12/A12</f>
        <v>4031.3736677370375</v>
      </c>
    </row>
    <row r="13" spans="1:13" x14ac:dyDescent="0.3">
      <c r="A13" s="18">
        <f>'Passenger transport data'!I5</f>
        <v>20.302539168017287</v>
      </c>
      <c r="B13" s="1">
        <f t="shared" ref="B13:B14" si="1">C$7*A13</f>
        <v>1624.203133441383</v>
      </c>
      <c r="C13" s="87">
        <f t="shared" ref="C13:C14" si="2">I$4*B13/100</f>
        <v>0.13805726634251758</v>
      </c>
      <c r="D13" s="87"/>
      <c r="E13" s="87"/>
      <c r="F13" s="87">
        <f t="shared" ref="F13:F14" si="3">F$11+C13</f>
        <v>6.1019146473906165</v>
      </c>
      <c r="G13" s="87"/>
      <c r="H13" s="27">
        <f t="shared" si="0"/>
        <v>0.30054933508036275</v>
      </c>
      <c r="I13" s="1">
        <f t="shared" ref="I13:I14" si="4">I$6*B13</f>
        <v>45.477687736358718</v>
      </c>
      <c r="J13" s="1">
        <f>F13*(I13+J$11)</f>
        <v>26624.547833784953</v>
      </c>
      <c r="K13" s="27">
        <f>J13/A13</f>
        <v>1311.3900489711536</v>
      </c>
    </row>
    <row r="14" spans="1:13" x14ac:dyDescent="0.3">
      <c r="A14" s="18">
        <f>'Passenger transport data'!J5</f>
        <v>34.148870880605074</v>
      </c>
      <c r="B14" s="1">
        <f t="shared" si="1"/>
        <v>2731.9096704484059</v>
      </c>
      <c r="C14" s="87">
        <f t="shared" si="2"/>
        <v>0.23221232198811453</v>
      </c>
      <c r="D14" s="87"/>
      <c r="E14" s="87"/>
      <c r="F14" s="87">
        <f t="shared" si="3"/>
        <v>6.1960697030362137</v>
      </c>
      <c r="G14" s="87"/>
      <c r="H14" s="27">
        <f t="shared" si="0"/>
        <v>0.1814428864924868</v>
      </c>
      <c r="I14" s="1">
        <f t="shared" si="4"/>
        <v>76.493470772555355</v>
      </c>
      <c r="J14" s="1">
        <f>F14*(I14+J$11)</f>
        <v>27227.55152385922</v>
      </c>
      <c r="K14" s="27">
        <f>J14/A14</f>
        <v>797.31923257594929</v>
      </c>
    </row>
    <row r="15" spans="1:13" x14ac:dyDescent="0.3">
      <c r="A15" s="86" t="s">
        <v>153</v>
      </c>
      <c r="B15" s="86"/>
      <c r="C15" s="86"/>
      <c r="D15" s="86"/>
      <c r="E15" s="86"/>
      <c r="F15" s="86"/>
      <c r="G15" s="86"/>
      <c r="H15" s="86"/>
      <c r="I15" s="86"/>
      <c r="J15" s="86"/>
      <c r="K15" s="86"/>
    </row>
    <row r="16" spans="1:13" x14ac:dyDescent="0.3">
      <c r="A16" s="1">
        <v>1</v>
      </c>
      <c r="B16" s="1">
        <v>0</v>
      </c>
      <c r="C16" s="87">
        <f>C$5*B16/100</f>
        <v>0</v>
      </c>
      <c r="D16" s="87"/>
      <c r="E16" s="87"/>
      <c r="F16" s="87">
        <f>'Passenger transport data'!D13</f>
        <v>5.9638573810480988</v>
      </c>
      <c r="G16" s="87"/>
      <c r="H16" s="30">
        <f>F16/A16</f>
        <v>5.9638573810480988</v>
      </c>
      <c r="I16" s="1">
        <v>0</v>
      </c>
      <c r="J16" s="1">
        <f>F16*(0.5*C$8+0.5*I$8)</f>
        <v>2905.0395438590149</v>
      </c>
      <c r="K16" s="30">
        <f>J16/A16</f>
        <v>2905.0395438590149</v>
      </c>
    </row>
    <row r="17" spans="1:11" x14ac:dyDescent="0.3">
      <c r="A17" s="18">
        <f>'Passenger transport data'!H5</f>
        <v>6.4562074554294977</v>
      </c>
      <c r="B17" s="1">
        <f>C$7*A17</f>
        <v>516.49659643435984</v>
      </c>
      <c r="C17" s="88">
        <f>B17*(0.5*I$4+0.5*C$5)/100</f>
        <v>0.12525042463533226</v>
      </c>
      <c r="D17" s="89"/>
      <c r="E17" s="90"/>
      <c r="F17" s="88">
        <f>F$16+C17</f>
        <v>6.0891078056834314</v>
      </c>
      <c r="G17" s="90"/>
      <c r="H17" s="27">
        <f>F17/A17</f>
        <v>0.94314004742252433</v>
      </c>
      <c r="I17" s="1">
        <f>B17*(0.5*C$6+0.5*I$6)/100</f>
        <v>0.33055782171799031</v>
      </c>
      <c r="J17" s="1">
        <f>F17*(I17+J$16)</f>
        <v>17691.111764543413</v>
      </c>
      <c r="K17" s="27">
        <f>J17/A17</f>
        <v>2740.1708954791502</v>
      </c>
    </row>
    <row r="18" spans="1:11" x14ac:dyDescent="0.3">
      <c r="A18" s="18">
        <f>'Passenger transport data'!I5</f>
        <v>20.302539168017287</v>
      </c>
      <c r="B18" s="1">
        <f t="shared" ref="B18:B19" si="5">C$7*A18</f>
        <v>1624.203133441383</v>
      </c>
      <c r="C18" s="88">
        <f t="shared" ref="C18:C19" si="6">B18*(0.5*I$4+0.5*C$5)/100</f>
        <v>0.39386925985953541</v>
      </c>
      <c r="D18" s="89"/>
      <c r="E18" s="90"/>
      <c r="F18" s="88">
        <f t="shared" ref="F18:F19" si="7">F$16+C18</f>
        <v>6.3577266409076341</v>
      </c>
      <c r="G18" s="90"/>
      <c r="H18" s="27">
        <f t="shared" ref="H18:H19" si="8">F18/A18</f>
        <v>0.31314933508036275</v>
      </c>
      <c r="I18" s="1">
        <f t="shared" ref="I18:I19" si="9">B18*(0.5*C$6+0.5*I$6)/100</f>
        <v>1.0394900054024852</v>
      </c>
      <c r="J18" s="1">
        <f t="shared" ref="J18:J19" si="10">F18*(I18+J$16)</f>
        <v>18476.056094182924</v>
      </c>
      <c r="K18" s="27">
        <f t="shared" ref="K18:K19" si="11">J18/A18</f>
        <v>910.03671714562518</v>
      </c>
    </row>
    <row r="19" spans="1:11" x14ac:dyDescent="0.3">
      <c r="A19" s="18">
        <f>'Passenger transport data'!J5</f>
        <v>34.148870880605074</v>
      </c>
      <c r="B19" s="1">
        <f t="shared" si="5"/>
        <v>2731.9096704484059</v>
      </c>
      <c r="C19" s="88">
        <f t="shared" si="6"/>
        <v>0.6624880950837384</v>
      </c>
      <c r="D19" s="89"/>
      <c r="E19" s="90"/>
      <c r="F19" s="88">
        <f t="shared" si="7"/>
        <v>6.6263454761318368</v>
      </c>
      <c r="G19" s="90"/>
      <c r="H19" s="27">
        <f t="shared" si="8"/>
        <v>0.19404288649248677</v>
      </c>
      <c r="I19" s="1">
        <f t="shared" si="9"/>
        <v>1.7484221890869798</v>
      </c>
      <c r="J19" s="1">
        <f t="shared" si="10"/>
        <v>19261.381288897301</v>
      </c>
      <c r="K19" s="27">
        <f t="shared" si="11"/>
        <v>564.04152735359821</v>
      </c>
    </row>
    <row r="20" spans="1:11" x14ac:dyDescent="0.3">
      <c r="A20" s="86" t="s">
        <v>154</v>
      </c>
      <c r="B20" s="86"/>
      <c r="C20" s="86"/>
      <c r="D20" s="86"/>
      <c r="E20" s="86"/>
      <c r="F20" s="86"/>
      <c r="G20" s="86"/>
      <c r="H20" s="86"/>
      <c r="I20" s="86"/>
      <c r="J20" s="86"/>
      <c r="K20" s="86"/>
    </row>
    <row r="21" spans="1:11" x14ac:dyDescent="0.3">
      <c r="A21" s="1">
        <v>1</v>
      </c>
      <c r="B21" s="1">
        <v>0</v>
      </c>
      <c r="C21" s="88">
        <f>B21*C$5/100</f>
        <v>0</v>
      </c>
      <c r="D21" s="89"/>
      <c r="E21" s="90"/>
      <c r="F21" s="87">
        <f>'Passenger transport data'!D13</f>
        <v>5.9638573810480988</v>
      </c>
      <c r="G21" s="87"/>
      <c r="H21" s="30">
        <f>F21/A21</f>
        <v>5.9638573810480988</v>
      </c>
      <c r="I21" s="1">
        <v>0</v>
      </c>
      <c r="J21" s="1">
        <f>F21*K$6</f>
        <v>1359.7594828789665</v>
      </c>
      <c r="K21" s="30">
        <f>J21/A21</f>
        <v>1359.7594828789665</v>
      </c>
    </row>
    <row r="22" spans="1:11" x14ac:dyDescent="0.3">
      <c r="A22" s="18">
        <f>'Passenger transport data'!H5</f>
        <v>6.4562074554294977</v>
      </c>
      <c r="B22" s="1">
        <f>C$7*A22</f>
        <v>516.49659643435984</v>
      </c>
      <c r="C22" s="88">
        <f>B22*C$5/100</f>
        <v>0.20659863857374394</v>
      </c>
      <c r="D22" s="89"/>
      <c r="E22" s="90"/>
      <c r="F22" s="91">
        <f>F$21+C22</f>
        <v>6.1704560196218425</v>
      </c>
      <c r="G22" s="92"/>
      <c r="H22" s="27">
        <f t="shared" ref="H22:H24" si="12">F22/A22</f>
        <v>0.95574004742252416</v>
      </c>
      <c r="I22" s="1">
        <f>C$6*B22</f>
        <v>51.649659643435989</v>
      </c>
      <c r="J22" s="1">
        <f>F22*(I22+J$21)</f>
        <v>8709.0380396266628</v>
      </c>
      <c r="K22" s="27">
        <f t="shared" ref="K22:K24" si="13">J22/A22</f>
        <v>1348.9402408069454</v>
      </c>
    </row>
    <row r="23" spans="1:11" x14ac:dyDescent="0.3">
      <c r="A23" s="18">
        <f>'Passenger transport data'!I5</f>
        <v>20.302539168017287</v>
      </c>
      <c r="B23" s="1">
        <f t="shared" ref="B23:B24" si="14">C$7*A23</f>
        <v>1624.203133441383</v>
      </c>
      <c r="C23" s="88">
        <f t="shared" ref="C23:C24" si="15">B23*C$5/100</f>
        <v>0.64968125337655325</v>
      </c>
      <c r="D23" s="89"/>
      <c r="E23" s="90"/>
      <c r="F23" s="88">
        <f>F$21+C23</f>
        <v>6.6135386344246516</v>
      </c>
      <c r="G23" s="90"/>
      <c r="H23" s="27">
        <f t="shared" si="12"/>
        <v>0.32574933508036275</v>
      </c>
      <c r="I23" s="1">
        <f t="shared" ref="I23:I24" si="16">C$6*B23</f>
        <v>162.42031334413832</v>
      </c>
      <c r="J23" s="1">
        <f t="shared" ref="J23:J24" si="17">F23*(I23+J$21)</f>
        <v>10066.994890862148</v>
      </c>
      <c r="K23" s="27">
        <f t="shared" si="13"/>
        <v>495.84905649243848</v>
      </c>
    </row>
    <row r="24" spans="1:11" x14ac:dyDescent="0.3">
      <c r="A24" s="18">
        <f>'Passenger transport data'!J5</f>
        <v>34.148870880605074</v>
      </c>
      <c r="B24" s="1">
        <f t="shared" si="14"/>
        <v>2731.9096704484059</v>
      </c>
      <c r="C24" s="88">
        <f t="shared" si="15"/>
        <v>1.0927638681793623</v>
      </c>
      <c r="D24" s="89"/>
      <c r="E24" s="90"/>
      <c r="F24" s="88">
        <f t="shared" ref="F24" si="18">F$21+C24</f>
        <v>7.0566212492274616</v>
      </c>
      <c r="G24" s="90"/>
      <c r="H24" s="27">
        <f t="shared" si="12"/>
        <v>0.2066428864924868</v>
      </c>
      <c r="I24" s="1">
        <f t="shared" si="16"/>
        <v>273.19096704484059</v>
      </c>
      <c r="J24" s="1">
        <f t="shared" si="17"/>
        <v>11523.112843867881</v>
      </c>
      <c r="K24" s="27">
        <f t="shared" si="13"/>
        <v>337.4375944714605</v>
      </c>
    </row>
    <row r="25" spans="1:11" x14ac:dyDescent="0.3">
      <c r="A25" s="86" t="s">
        <v>155</v>
      </c>
      <c r="B25" s="86"/>
      <c r="C25" s="86"/>
      <c r="D25" s="86"/>
      <c r="E25" s="86"/>
      <c r="F25" s="86"/>
      <c r="G25" s="86"/>
      <c r="H25" s="86"/>
      <c r="I25" s="86"/>
      <c r="J25" s="86"/>
      <c r="K25" s="86"/>
    </row>
    <row r="26" spans="1:11" x14ac:dyDescent="0.3">
      <c r="A26" s="1">
        <v>1</v>
      </c>
      <c r="B26" s="1">
        <v>0</v>
      </c>
      <c r="C26" s="88">
        <f>B26*C$5/100</f>
        <v>0</v>
      </c>
      <c r="D26" s="89"/>
      <c r="E26" s="90"/>
      <c r="F26" s="87">
        <f>'Passenger transport data'!D13</f>
        <v>5.9638573810480988</v>
      </c>
      <c r="G26" s="87"/>
      <c r="H26" s="30">
        <f>F26/A26</f>
        <v>5.9638573810480988</v>
      </c>
      <c r="I26" s="1">
        <v>0</v>
      </c>
      <c r="J26" s="1">
        <f>C$8*F26</f>
        <v>1492.246343839206</v>
      </c>
      <c r="K26" s="30">
        <f>J26/A26</f>
        <v>1492.246343839206</v>
      </c>
    </row>
    <row r="27" spans="1:11" x14ac:dyDescent="0.3">
      <c r="A27" s="18">
        <f>'Passenger transport data'!H5</f>
        <v>6.4562074554294977</v>
      </c>
      <c r="B27" s="1">
        <f>C$7*A27</f>
        <v>516.49659643435984</v>
      </c>
      <c r="C27" s="88">
        <f>B27*C$5/100</f>
        <v>0.20659863857374394</v>
      </c>
      <c r="D27" s="89"/>
      <c r="E27" s="90"/>
      <c r="F27" s="91">
        <f>F$26+C27</f>
        <v>6.1704560196218425</v>
      </c>
      <c r="G27" s="92"/>
      <c r="H27" s="27">
        <f>F27/A27</f>
        <v>0.95574004742252416</v>
      </c>
      <c r="I27" s="1">
        <f>C$6*B27</f>
        <v>51.649659643435989</v>
      </c>
      <c r="J27" s="1">
        <f>F27*(I27+J$26)</f>
        <v>9526.542388359574</v>
      </c>
      <c r="K27" s="27">
        <f>J27/A27</f>
        <v>1475.5632395839459</v>
      </c>
    </row>
    <row r="28" spans="1:11" x14ac:dyDescent="0.3">
      <c r="A28" s="18">
        <f>'Passenger transport data'!I5</f>
        <v>20.302539168017287</v>
      </c>
      <c r="B28" s="1">
        <f t="shared" ref="B28:B29" si="19">C$7*A28</f>
        <v>1624.203133441383</v>
      </c>
      <c r="C28" s="88">
        <f t="shared" ref="C28:C29" si="20">B28*C$5/100</f>
        <v>0.64968125337655325</v>
      </c>
      <c r="D28" s="89"/>
      <c r="E28" s="90"/>
      <c r="F28" s="91">
        <f t="shared" ref="F28:F29" si="21">F$26+C28</f>
        <v>6.6135386344246516</v>
      </c>
      <c r="G28" s="92"/>
      <c r="H28" s="27">
        <f t="shared" ref="H28:H29" si="22">F28/A28</f>
        <v>0.32574933508036275</v>
      </c>
      <c r="I28" s="1">
        <f t="shared" ref="I28:I29" si="23">C$6*B28</f>
        <v>162.42031334413832</v>
      </c>
      <c r="J28" s="1">
        <f t="shared" ref="J28:J29" si="24">F28*(I28+J$26)</f>
        <v>10943.201864376339</v>
      </c>
      <c r="K28" s="27">
        <f t="shared" ref="K28:K29" si="25">J28/A28</f>
        <v>539.00656335712097</v>
      </c>
    </row>
    <row r="29" spans="1:11" x14ac:dyDescent="0.3">
      <c r="A29" s="18">
        <f>'Passenger transport data'!J5</f>
        <v>34.148870880605074</v>
      </c>
      <c r="B29" s="1">
        <f t="shared" si="19"/>
        <v>2731.9096704484059</v>
      </c>
      <c r="C29" s="88">
        <f t="shared" si="20"/>
        <v>1.0927638681793623</v>
      </c>
      <c r="D29" s="89"/>
      <c r="E29" s="90"/>
      <c r="F29" s="91">
        <f t="shared" si="21"/>
        <v>7.0566212492274616</v>
      </c>
      <c r="G29" s="92"/>
      <c r="H29" s="27">
        <f t="shared" si="22"/>
        <v>0.2066428864924868</v>
      </c>
      <c r="I29" s="1">
        <f t="shared" si="23"/>
        <v>273.19096704484059</v>
      </c>
      <c r="J29" s="1">
        <f t="shared" si="24"/>
        <v>12458.022442163352</v>
      </c>
      <c r="K29" s="27">
        <f t="shared" si="25"/>
        <v>364.81506184261315</v>
      </c>
    </row>
    <row r="30" spans="1:11" x14ac:dyDescent="0.3">
      <c r="A30" s="86" t="s">
        <v>156</v>
      </c>
      <c r="B30" s="86"/>
      <c r="C30" s="86"/>
      <c r="D30" s="86"/>
      <c r="E30" s="86"/>
      <c r="F30" s="86"/>
      <c r="G30" s="86"/>
      <c r="H30" s="86"/>
      <c r="I30" s="86"/>
      <c r="J30" s="86"/>
      <c r="K30" s="86"/>
    </row>
    <row r="31" spans="1:11" x14ac:dyDescent="0.3">
      <c r="A31" s="1">
        <v>1</v>
      </c>
      <c r="B31" s="1">
        <v>0</v>
      </c>
      <c r="C31" s="88">
        <f>B31*C$5/100</f>
        <v>0</v>
      </c>
      <c r="D31" s="89"/>
      <c r="E31" s="90"/>
      <c r="F31" s="87">
        <f>'Passenger transport data'!D13</f>
        <v>5.9638573810480988</v>
      </c>
      <c r="G31" s="87"/>
      <c r="H31" s="30">
        <f>F31/A31</f>
        <v>5.9638573810480988</v>
      </c>
      <c r="I31" s="1">
        <v>0</v>
      </c>
      <c r="J31" s="1">
        <f>K$8*F31</f>
        <v>1950.1755997371254</v>
      </c>
      <c r="K31" s="30">
        <f>J31/A31</f>
        <v>1950.1755997371254</v>
      </c>
    </row>
    <row r="32" spans="1:11" x14ac:dyDescent="0.3">
      <c r="A32" s="18">
        <f>'Passenger transport data'!H5</f>
        <v>6.4562074554294977</v>
      </c>
      <c r="B32" s="1">
        <f>C$7*A32</f>
        <v>516.49659643435984</v>
      </c>
      <c r="C32" s="88">
        <f>B32*C$5/100</f>
        <v>0.20659863857374394</v>
      </c>
      <c r="D32" s="89"/>
      <c r="E32" s="90"/>
      <c r="F32" s="91">
        <f>F$31+C32</f>
        <v>6.1704560196218425</v>
      </c>
      <c r="G32" s="92"/>
      <c r="H32" s="27">
        <f>F32/A32</f>
        <v>0.95574004742252416</v>
      </c>
      <c r="I32" s="1">
        <f>C$6*B32</f>
        <v>51.649659643435989</v>
      </c>
      <c r="J32" s="1">
        <f>F32*(I32+J$31)</f>
        <v>12352.174721975842</v>
      </c>
      <c r="K32" s="27">
        <f t="shared" ref="K32:K34" si="26">J32/A32</f>
        <v>1913.2245683319848</v>
      </c>
    </row>
    <row r="33" spans="1:11" x14ac:dyDescent="0.3">
      <c r="A33" s="18">
        <f>'Passenger transport data'!I5</f>
        <v>20.302539168017287</v>
      </c>
      <c r="B33" s="1">
        <f t="shared" ref="B33:B34" si="27">C$7*A33</f>
        <v>1624.203133441383</v>
      </c>
      <c r="C33" s="88">
        <f t="shared" ref="C33:C34" si="28">B33*C$5/100</f>
        <v>0.64968125337655325</v>
      </c>
      <c r="D33" s="89"/>
      <c r="E33" s="90"/>
      <c r="F33" s="91">
        <f t="shared" ref="F33:F34" si="29">F$31+C33</f>
        <v>6.6135386344246516</v>
      </c>
      <c r="G33" s="92"/>
      <c r="H33" s="27">
        <f t="shared" ref="H33:H34" si="30">F33/A33</f>
        <v>0.32574933508036275</v>
      </c>
      <c r="I33" s="1">
        <f t="shared" ref="I33:I34" si="31">C$6*B33</f>
        <v>162.42031334413832</v>
      </c>
      <c r="J33" s="1">
        <f t="shared" ref="J33:J34" si="32">F33*(I33+J$31)</f>
        <v>13971.73469009056</v>
      </c>
      <c r="K33" s="27">
        <f t="shared" si="26"/>
        <v>688.17671397971333</v>
      </c>
    </row>
    <row r="34" spans="1:11" x14ac:dyDescent="0.3">
      <c r="A34" s="18">
        <f>'Passenger transport data'!J5</f>
        <v>34.148870880605074</v>
      </c>
      <c r="B34" s="1">
        <f t="shared" si="27"/>
        <v>2731.9096704484059</v>
      </c>
      <c r="C34" s="88">
        <f t="shared" si="28"/>
        <v>1.0927638681793623</v>
      </c>
      <c r="D34" s="89"/>
      <c r="E34" s="90"/>
      <c r="F34" s="91">
        <f t="shared" si="29"/>
        <v>7.0566212492274616</v>
      </c>
      <c r="G34" s="92"/>
      <c r="H34" s="27">
        <f t="shared" si="30"/>
        <v>0.2066428864924868</v>
      </c>
      <c r="I34" s="1">
        <f t="shared" si="31"/>
        <v>273.19096704484059</v>
      </c>
      <c r="J34" s="1">
        <f t="shared" si="32"/>
        <v>15689.45575997553</v>
      </c>
      <c r="K34" s="27">
        <f t="shared" si="26"/>
        <v>459.44288509071583</v>
      </c>
    </row>
  </sheetData>
  <mergeCells count="54">
    <mergeCell ref="C33:E33"/>
    <mergeCell ref="F33:G33"/>
    <mergeCell ref="C34:E34"/>
    <mergeCell ref="F34:G34"/>
    <mergeCell ref="C29:E29"/>
    <mergeCell ref="F29:G29"/>
    <mergeCell ref="A30:K30"/>
    <mergeCell ref="C31:E31"/>
    <mergeCell ref="F31:G31"/>
    <mergeCell ref="C32:E32"/>
    <mergeCell ref="F32:G32"/>
    <mergeCell ref="C28:E28"/>
    <mergeCell ref="F28:G28"/>
    <mergeCell ref="A25:K25"/>
    <mergeCell ref="C26:E26"/>
    <mergeCell ref="F26:G26"/>
    <mergeCell ref="C27:E27"/>
    <mergeCell ref="F27:G27"/>
    <mergeCell ref="C19:E19"/>
    <mergeCell ref="F19:G19"/>
    <mergeCell ref="A20:K20"/>
    <mergeCell ref="C21:E21"/>
    <mergeCell ref="F21:G21"/>
    <mergeCell ref="C22:E22"/>
    <mergeCell ref="F22:G22"/>
    <mergeCell ref="C23:E23"/>
    <mergeCell ref="F23:G23"/>
    <mergeCell ref="C24:E24"/>
    <mergeCell ref="F24:G24"/>
    <mergeCell ref="C18:E18"/>
    <mergeCell ref="F18:G18"/>
    <mergeCell ref="C12:E12"/>
    <mergeCell ref="F12:G12"/>
    <mergeCell ref="C13:E13"/>
    <mergeCell ref="F13:G13"/>
    <mergeCell ref="C14:E14"/>
    <mergeCell ref="F14:G14"/>
    <mergeCell ref="A15:K15"/>
    <mergeCell ref="C16:E16"/>
    <mergeCell ref="F16:G16"/>
    <mergeCell ref="C17:E17"/>
    <mergeCell ref="F17:G17"/>
    <mergeCell ref="A8:A9"/>
    <mergeCell ref="C9:E9"/>
    <mergeCell ref="F9:G9"/>
    <mergeCell ref="A10:K10"/>
    <mergeCell ref="C11:E11"/>
    <mergeCell ref="F11:G11"/>
    <mergeCell ref="B2:G2"/>
    <mergeCell ref="H2:M2"/>
    <mergeCell ref="B4:B6"/>
    <mergeCell ref="E4:E7"/>
    <mergeCell ref="H4:H6"/>
    <mergeCell ref="L7:M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6" t="s">
        <v>122</v>
      </c>
      <c r="C2" s="77"/>
      <c r="D2" s="77"/>
      <c r="E2" s="77"/>
      <c r="F2" s="77"/>
      <c r="G2" s="78"/>
    </row>
    <row r="3" spans="1:11" x14ac:dyDescent="0.3">
      <c r="B3" s="19" t="s">
        <v>104</v>
      </c>
      <c r="C3" s="8"/>
      <c r="D3" s="8"/>
      <c r="E3" s="8"/>
      <c r="F3" s="8"/>
      <c r="G3" s="20"/>
    </row>
    <row r="4" spans="1:11" x14ac:dyDescent="0.3">
      <c r="B4" s="79" t="s">
        <v>106</v>
      </c>
      <c r="C4" s="8">
        <v>4.0000000000000001E-3</v>
      </c>
      <c r="D4" s="8" t="s">
        <v>105</v>
      </c>
      <c r="E4" s="98" t="s">
        <v>112</v>
      </c>
      <c r="F4" s="8"/>
      <c r="G4" s="20"/>
    </row>
    <row r="5" spans="1:11" x14ac:dyDescent="0.3">
      <c r="B5" s="79"/>
      <c r="C5" s="8">
        <f>C4*10</f>
        <v>0.04</v>
      </c>
      <c r="D5" s="8" t="s">
        <v>86</v>
      </c>
      <c r="E5" s="98"/>
      <c r="F5" s="8"/>
      <c r="G5" s="20"/>
    </row>
    <row r="6" spans="1:11" x14ac:dyDescent="0.3">
      <c r="B6" s="79"/>
      <c r="C6" s="8">
        <v>0.1</v>
      </c>
      <c r="D6" s="8" t="s">
        <v>66</v>
      </c>
      <c r="E6" s="98"/>
      <c r="F6" s="8"/>
      <c r="G6" s="20"/>
    </row>
    <row r="7" spans="1:11" x14ac:dyDescent="0.3">
      <c r="B7" s="19" t="s">
        <v>110</v>
      </c>
      <c r="C7" s="8">
        <v>80</v>
      </c>
      <c r="D7" s="8" t="s">
        <v>111</v>
      </c>
      <c r="E7" s="98"/>
      <c r="F7" s="8"/>
      <c r="G7" s="20"/>
    </row>
    <row r="8" spans="1:11" ht="15" thickBot="1" x14ac:dyDescent="0.35">
      <c r="A8" s="84" t="s">
        <v>109</v>
      </c>
      <c r="B8" s="21" t="s">
        <v>107</v>
      </c>
      <c r="C8" s="25">
        <f>'Passenger transport data'!D16*10^3</f>
        <v>245.01946365069313</v>
      </c>
      <c r="D8" s="22" t="s">
        <v>108</v>
      </c>
      <c r="E8" s="22" t="s">
        <v>147</v>
      </c>
      <c r="F8" s="22">
        <f>'Passenger transport data'!D15*10^3</f>
        <v>266.55202063628548</v>
      </c>
      <c r="G8" s="22" t="s">
        <v>108</v>
      </c>
    </row>
    <row r="9" spans="1:11" x14ac:dyDescent="0.3">
      <c r="A9" s="56"/>
      <c r="B9" s="11" t="s">
        <v>113</v>
      </c>
      <c r="C9" s="85" t="s">
        <v>114</v>
      </c>
      <c r="D9" s="85"/>
      <c r="E9" s="85"/>
      <c r="F9" s="85" t="s">
        <v>115</v>
      </c>
      <c r="G9" s="85"/>
      <c r="H9" s="1" t="s">
        <v>116</v>
      </c>
      <c r="I9" s="1" t="s">
        <v>118</v>
      </c>
      <c r="J9" s="1" t="s">
        <v>119</v>
      </c>
      <c r="K9" s="1" t="s">
        <v>117</v>
      </c>
    </row>
    <row r="10" spans="1:11" x14ac:dyDescent="0.3">
      <c r="A10" s="86" t="s">
        <v>120</v>
      </c>
      <c r="B10" s="86"/>
      <c r="C10" s="86"/>
      <c r="D10" s="86"/>
      <c r="E10" s="86"/>
      <c r="F10" s="86"/>
      <c r="G10" s="86"/>
      <c r="H10" s="86"/>
      <c r="I10" s="86"/>
      <c r="J10" s="86"/>
      <c r="K10" s="86"/>
    </row>
    <row r="11" spans="1:11" x14ac:dyDescent="0.3">
      <c r="A11" s="1">
        <v>1</v>
      </c>
      <c r="B11" s="1">
        <v>0</v>
      </c>
      <c r="C11" s="87">
        <f>C$5*B11/100</f>
        <v>0</v>
      </c>
      <c r="D11" s="87"/>
      <c r="E11" s="87"/>
      <c r="F11" s="93">
        <f>'Passenger transport data'!D10</f>
        <v>0.74800051424408087</v>
      </c>
      <c r="G11" s="93"/>
      <c r="H11" s="27">
        <f>F11/A11</f>
        <v>0.74800051424408087</v>
      </c>
      <c r="I11" s="1">
        <v>0</v>
      </c>
      <c r="J11" s="1">
        <f>C$8*F11</f>
        <v>183.27468481052733</v>
      </c>
      <c r="K11" s="27">
        <f>J11/A11</f>
        <v>183.27468481052733</v>
      </c>
    </row>
    <row r="12" spans="1:11" x14ac:dyDescent="0.3">
      <c r="A12" s="1">
        <v>2</v>
      </c>
      <c r="B12" s="1">
        <f>B11+C$7</f>
        <v>80</v>
      </c>
      <c r="C12" s="87">
        <f>C$5*B12/100</f>
        <v>3.2000000000000001E-2</v>
      </c>
      <c r="D12" s="87"/>
      <c r="E12" s="87"/>
      <c r="F12" s="87">
        <f>F$11+C12</f>
        <v>0.7800005142440809</v>
      </c>
      <c r="G12" s="87"/>
      <c r="H12" s="27">
        <f t="shared" ref="H12:H15" si="0">F12/A12</f>
        <v>0.39000025712204045</v>
      </c>
      <c r="I12" s="1">
        <f>C$6*B12</f>
        <v>8</v>
      </c>
      <c r="J12" s="1">
        <f>F12*(I12+J$11)</f>
        <v>149.19435251408581</v>
      </c>
      <c r="K12" s="27">
        <f t="shared" ref="K12:K15" si="1">J12/A12</f>
        <v>74.597176257042904</v>
      </c>
    </row>
    <row r="13" spans="1:11" x14ac:dyDescent="0.3">
      <c r="A13" s="1">
        <v>3</v>
      </c>
      <c r="B13" s="1">
        <f t="shared" ref="B13:B15" si="2">B12+C$7</f>
        <v>160</v>
      </c>
      <c r="C13" s="87">
        <f>C$5*B13/100</f>
        <v>6.4000000000000001E-2</v>
      </c>
      <c r="D13" s="87"/>
      <c r="E13" s="87"/>
      <c r="F13" s="87">
        <f t="shared" ref="F13:F15" si="3">F$11+C13</f>
        <v>0.81200051424408093</v>
      </c>
      <c r="G13" s="87"/>
      <c r="H13" s="27">
        <f t="shared" si="0"/>
        <v>0.27066683808136033</v>
      </c>
      <c r="I13" s="1">
        <f t="shared" ref="I13:I15" si="4">C$6*B13</f>
        <v>16</v>
      </c>
      <c r="J13" s="1">
        <f t="shared" ref="J13:J15" si="5">F13*(I13+J$11)</f>
        <v>161.81114654197535</v>
      </c>
      <c r="K13" s="27">
        <f t="shared" si="1"/>
        <v>53.937048847325116</v>
      </c>
    </row>
    <row r="14" spans="1:11" x14ac:dyDescent="0.3">
      <c r="A14" s="1">
        <v>4</v>
      </c>
      <c r="B14" s="1">
        <f t="shared" si="2"/>
        <v>240</v>
      </c>
      <c r="C14" s="87">
        <f>C$5*B14/100</f>
        <v>9.6000000000000002E-2</v>
      </c>
      <c r="D14" s="87"/>
      <c r="E14" s="87"/>
      <c r="F14" s="87">
        <f t="shared" si="3"/>
        <v>0.84400051424408085</v>
      </c>
      <c r="G14" s="87"/>
      <c r="H14" s="27">
        <f t="shared" si="0"/>
        <v>0.21100012856102021</v>
      </c>
      <c r="I14" s="1">
        <f t="shared" si="4"/>
        <v>24</v>
      </c>
      <c r="J14" s="1">
        <f t="shared" si="5"/>
        <v>174.93994056986483</v>
      </c>
      <c r="K14" s="27">
        <f t="shared" si="1"/>
        <v>43.734985142466208</v>
      </c>
    </row>
    <row r="15" spans="1:11" x14ac:dyDescent="0.3">
      <c r="A15" s="1">
        <v>5</v>
      </c>
      <c r="B15" s="1">
        <f t="shared" si="2"/>
        <v>320</v>
      </c>
      <c r="C15" s="87">
        <f>C$5*B15/100</f>
        <v>0.128</v>
      </c>
      <c r="D15" s="87"/>
      <c r="E15" s="87"/>
      <c r="F15" s="87">
        <f t="shared" si="3"/>
        <v>0.87600051424408087</v>
      </c>
      <c r="G15" s="87"/>
      <c r="H15" s="27">
        <f t="shared" si="0"/>
        <v>0.17520010284881618</v>
      </c>
      <c r="I15" s="1">
        <f t="shared" si="4"/>
        <v>32</v>
      </c>
      <c r="J15" s="1">
        <f t="shared" si="5"/>
        <v>188.58073459775437</v>
      </c>
      <c r="K15" s="27">
        <f t="shared" si="1"/>
        <v>37.716146919550873</v>
      </c>
    </row>
    <row r="16" spans="1:11" x14ac:dyDescent="0.3">
      <c r="A16" s="86" t="s">
        <v>121</v>
      </c>
      <c r="B16" s="86"/>
      <c r="C16" s="86"/>
      <c r="D16" s="86"/>
      <c r="E16" s="86"/>
      <c r="F16" s="86"/>
      <c r="G16" s="86"/>
      <c r="H16" s="86"/>
      <c r="I16" s="86"/>
      <c r="J16" s="86"/>
      <c r="K16" s="86"/>
    </row>
    <row r="17" spans="1:11" x14ac:dyDescent="0.3">
      <c r="A17" s="1">
        <v>1</v>
      </c>
      <c r="B17" s="1">
        <v>0</v>
      </c>
      <c r="C17" s="87">
        <f>C$5*B17/100</f>
        <v>0</v>
      </c>
      <c r="D17" s="87"/>
      <c r="E17" s="87"/>
      <c r="F17" s="93">
        <f>'Passenger transport data'!D8</f>
        <v>0.45747342445703504</v>
      </c>
      <c r="G17" s="93"/>
      <c r="H17" s="27">
        <f>F17/A17</f>
        <v>0.45747342445703504</v>
      </c>
      <c r="I17" s="1">
        <v>0</v>
      </c>
      <c r="J17" s="1">
        <f>C$8*F17</f>
        <v>112.0898930949086</v>
      </c>
      <c r="K17" s="27">
        <f>J17/A17</f>
        <v>112.0898930949086</v>
      </c>
    </row>
    <row r="18" spans="1:11" x14ac:dyDescent="0.3">
      <c r="A18" s="1">
        <v>2</v>
      </c>
      <c r="B18" s="1">
        <f>C7+B17</f>
        <v>80</v>
      </c>
      <c r="C18" s="87">
        <f>C$5*B18/100</f>
        <v>3.2000000000000001E-2</v>
      </c>
      <c r="D18" s="87"/>
      <c r="E18" s="87"/>
      <c r="F18" s="87">
        <f>F17+C18</f>
        <v>0.48947342445703501</v>
      </c>
      <c r="G18" s="87"/>
      <c r="H18" s="27">
        <f>F18/A18</f>
        <v>0.24473671222851751</v>
      </c>
      <c r="I18" s="1">
        <f>C6*B18</f>
        <v>8</v>
      </c>
      <c r="J18" s="1">
        <f>F18*(I18+J17)</f>
        <v>58.78081121584416</v>
      </c>
      <c r="K18" s="27">
        <f>J18/A18</f>
        <v>29.39040560792208</v>
      </c>
    </row>
    <row r="19" spans="1:11" x14ac:dyDescent="0.3">
      <c r="A19" s="86" t="s">
        <v>87</v>
      </c>
      <c r="B19" s="86"/>
      <c r="C19" s="86"/>
      <c r="D19" s="86"/>
      <c r="E19" s="86"/>
      <c r="F19" s="86"/>
      <c r="G19" s="86"/>
      <c r="H19" s="86"/>
      <c r="I19" s="86"/>
      <c r="J19" s="86"/>
      <c r="K19" s="86"/>
    </row>
    <row r="20" spans="1:11" x14ac:dyDescent="0.3">
      <c r="A20" s="1">
        <v>1</v>
      </c>
      <c r="B20" s="1">
        <v>0</v>
      </c>
      <c r="C20" s="88">
        <f>B20*C$5/100</f>
        <v>0</v>
      </c>
      <c r="D20" s="89"/>
      <c r="E20" s="90"/>
      <c r="F20" s="94">
        <f>'Passenger transport data'!D13</f>
        <v>5.9638573810480988</v>
      </c>
      <c r="G20" s="95"/>
      <c r="H20" s="30">
        <f>F20/A20</f>
        <v>5.9638573810480988</v>
      </c>
      <c r="I20" s="1">
        <v>0</v>
      </c>
      <c r="J20" s="1">
        <f>C$8*F20</f>
        <v>1461.2611367936327</v>
      </c>
      <c r="K20" s="1">
        <f>J20/A20</f>
        <v>1461.2611367936327</v>
      </c>
    </row>
    <row r="21" spans="1:11" x14ac:dyDescent="0.3">
      <c r="A21" s="18">
        <f>'Passenger transport data'!H5</f>
        <v>6.4562074554294977</v>
      </c>
      <c r="B21" s="1">
        <f>C$7*A21</f>
        <v>516.49659643435984</v>
      </c>
      <c r="C21" s="88">
        <f>B21*C$5/100</f>
        <v>0.20659863857374394</v>
      </c>
      <c r="D21" s="89"/>
      <c r="E21" s="90"/>
      <c r="F21" s="96">
        <f>F$20+C21</f>
        <v>6.1704560196218425</v>
      </c>
      <c r="G21" s="97"/>
      <c r="H21" s="27">
        <f t="shared" ref="H21:H23" si="6">F21/A21</f>
        <v>0.95574004742252416</v>
      </c>
      <c r="I21" s="1">
        <f>C$6*B21</f>
        <v>51.649659643435989</v>
      </c>
      <c r="J21" s="1">
        <f>F21*(I21+J$20)</f>
        <v>9335.3495310259859</v>
      </c>
      <c r="K21" s="27">
        <f t="shared" ref="K21:K23" si="7">J21/A21</f>
        <v>1445.9494363328129</v>
      </c>
    </row>
    <row r="22" spans="1:11" x14ac:dyDescent="0.3">
      <c r="A22" s="18">
        <f>'Passenger transport data'!I5</f>
        <v>20.302539168017287</v>
      </c>
      <c r="B22" s="1">
        <f t="shared" ref="B22:B23" si="8">C$7*A22</f>
        <v>1624.203133441383</v>
      </c>
      <c r="C22" s="88">
        <f t="shared" ref="C22:C23" si="9">B22*C$5/100</f>
        <v>0.64968125337655325</v>
      </c>
      <c r="D22" s="89"/>
      <c r="E22" s="90"/>
      <c r="F22" s="88">
        <f>F$20+C22</f>
        <v>6.6135386344246516</v>
      </c>
      <c r="G22" s="90"/>
      <c r="H22" s="27">
        <f t="shared" si="6"/>
        <v>0.32574933508036275</v>
      </c>
      <c r="I22" s="1">
        <f t="shared" ref="I22:I23" si="10">C$6*B22</f>
        <v>162.42031334413832</v>
      </c>
      <c r="J22" s="1">
        <f t="shared" ref="J22:J23" si="11">F22*(I22+J$20)</f>
        <v>10738.280000484792</v>
      </c>
      <c r="K22" s="27">
        <f t="shared" si="7"/>
        <v>528.913152764698</v>
      </c>
    </row>
    <row r="23" spans="1:11" x14ac:dyDescent="0.3">
      <c r="A23" s="18">
        <f>'Passenger transport data'!J5</f>
        <v>34.148870880605074</v>
      </c>
      <c r="B23" s="1">
        <f t="shared" si="8"/>
        <v>2731.9096704484059</v>
      </c>
      <c r="C23" s="88">
        <f t="shared" si="9"/>
        <v>1.0927638681793623</v>
      </c>
      <c r="D23" s="89"/>
      <c r="E23" s="90"/>
      <c r="F23" s="88">
        <f t="shared" ref="F23" si="12">F$20+C23</f>
        <v>7.0566212492274616</v>
      </c>
      <c r="G23" s="90"/>
      <c r="H23" s="27">
        <f t="shared" si="6"/>
        <v>0.2066428864924868</v>
      </c>
      <c r="I23" s="1">
        <f t="shared" si="10"/>
        <v>273.19096704484059</v>
      </c>
      <c r="J23" s="1">
        <f t="shared" si="11"/>
        <v>12239.371571713846</v>
      </c>
      <c r="K23" s="27">
        <f t="shared" si="7"/>
        <v>358.41218922014855</v>
      </c>
    </row>
    <row r="24" spans="1:11" x14ac:dyDescent="0.3">
      <c r="A24" t="s">
        <v>146</v>
      </c>
    </row>
    <row r="25" spans="1:11" x14ac:dyDescent="0.3">
      <c r="A25">
        <v>1</v>
      </c>
      <c r="B25" s="1">
        <v>0</v>
      </c>
      <c r="C25" s="88">
        <f>B25*C$5/100</f>
        <v>0</v>
      </c>
      <c r="D25" s="89"/>
      <c r="E25" s="90"/>
      <c r="F25" s="88">
        <f>'[3]Passenger transport data'!D25</f>
        <v>19.224390000000003</v>
      </c>
      <c r="G25" s="90"/>
      <c r="H25" s="30">
        <f>F25/A25</f>
        <v>19.224390000000003</v>
      </c>
      <c r="I25" s="1">
        <v>0</v>
      </c>
      <c r="J25" s="1">
        <f>F$8*F25</f>
        <v>5124.3000000000011</v>
      </c>
      <c r="K25" s="30">
        <f>J25/A25</f>
        <v>5124.3000000000011</v>
      </c>
    </row>
    <row r="26" spans="1:11" x14ac:dyDescent="0.3">
      <c r="A26" s="37">
        <f>'Passenger transport data'!H7</f>
        <v>38.944002853873577</v>
      </c>
      <c r="B26" s="1">
        <f>C$7*A26</f>
        <v>3115.5202283098861</v>
      </c>
      <c r="C26" s="88">
        <f>B26*C$5/100</f>
        <v>1.2462080913239546</v>
      </c>
      <c r="D26" s="89"/>
      <c r="E26" s="90"/>
      <c r="F26" s="91">
        <f>F$25+C26</f>
        <v>20.470598091323957</v>
      </c>
      <c r="G26" s="92"/>
      <c r="H26" s="27">
        <f t="shared" ref="H26:H28" si="13">F26/A26</f>
        <v>0.52564185988107393</v>
      </c>
      <c r="I26" s="1">
        <f>C$6*B26</f>
        <v>311.55202283098862</v>
      </c>
      <c r="J26" s="1">
        <f>F26*(I26+J$25)</f>
        <v>111275.14204328353</v>
      </c>
      <c r="K26" s="27">
        <f t="shared" ref="K26:K28" si="14">J26/A26</f>
        <v>2857.3113673191792</v>
      </c>
    </row>
    <row r="27" spans="1:11" x14ac:dyDescent="0.3">
      <c r="A27" s="37">
        <f>'Passenger transport data'!I7</f>
        <v>122.46541777947665</v>
      </c>
      <c r="B27" s="1">
        <f t="shared" ref="B27" si="15">C$7*A27</f>
        <v>9797.2334223581329</v>
      </c>
      <c r="C27" s="88">
        <f t="shared" ref="C27:C28" si="16">B27*C$5/100</f>
        <v>3.918893368943253</v>
      </c>
      <c r="D27" s="89"/>
      <c r="E27" s="90"/>
      <c r="F27" s="91">
        <f t="shared" ref="F27:F28" si="17">F$25+C27</f>
        <v>23.143283368943255</v>
      </c>
      <c r="G27" s="92"/>
      <c r="H27" s="27">
        <f t="shared" si="13"/>
        <v>0.18897811144218149</v>
      </c>
      <c r="I27" s="1">
        <f t="shared" ref="I27" si="18">C$6*B27</f>
        <v>979.72334223581333</v>
      </c>
      <c r="J27" s="1">
        <f t="shared" ref="J27:J28" si="19">F27*(I27+J$25)</f>
        <v>141267.14190000755</v>
      </c>
      <c r="K27" s="27">
        <f t="shared" si="14"/>
        <v>1153.5268034147171</v>
      </c>
    </row>
    <row r="28" spans="1:11" x14ac:dyDescent="0.3">
      <c r="A28" s="37">
        <f>'Passenger transport data'!J7</f>
        <v>205.98683270507973</v>
      </c>
      <c r="B28" s="1">
        <f>C$7*A28</f>
        <v>16478.946616406378</v>
      </c>
      <c r="C28" s="88">
        <f t="shared" si="16"/>
        <v>6.5915786465625512</v>
      </c>
      <c r="D28" s="89"/>
      <c r="E28" s="90"/>
      <c r="F28" s="91">
        <f t="shared" si="17"/>
        <v>25.815968646562553</v>
      </c>
      <c r="G28" s="92"/>
      <c r="H28" s="27">
        <f t="shared" si="13"/>
        <v>0.12532824699297354</v>
      </c>
      <c r="I28" s="1">
        <f>C$6*B28</f>
        <v>1647.8946616406379</v>
      </c>
      <c r="J28" s="1">
        <f t="shared" si="19"/>
        <v>174830.76505333302</v>
      </c>
      <c r="K28" s="27">
        <f t="shared" si="14"/>
        <v>848.74728523859483</v>
      </c>
    </row>
  </sheetData>
  <mergeCells count="39">
    <mergeCell ref="C28:E28"/>
    <mergeCell ref="F28:G28"/>
    <mergeCell ref="C25:E25"/>
    <mergeCell ref="F25:G25"/>
    <mergeCell ref="C26:E26"/>
    <mergeCell ref="F26:G26"/>
    <mergeCell ref="C27:E27"/>
    <mergeCell ref="F27:G27"/>
    <mergeCell ref="B4:B6"/>
    <mergeCell ref="C9:E9"/>
    <mergeCell ref="F9:G9"/>
    <mergeCell ref="C11:E11"/>
    <mergeCell ref="F12:G12"/>
    <mergeCell ref="F13:G13"/>
    <mergeCell ref="F14:G14"/>
    <mergeCell ref="F15:G15"/>
    <mergeCell ref="E4:E7"/>
    <mergeCell ref="C22:E22"/>
    <mergeCell ref="C23:E23"/>
    <mergeCell ref="F20:G20"/>
    <mergeCell ref="F21:G21"/>
    <mergeCell ref="F22:G22"/>
    <mergeCell ref="F23:G23"/>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6" t="s">
        <v>123</v>
      </c>
      <c r="C2" s="77"/>
      <c r="D2" s="77"/>
      <c r="E2" s="77"/>
      <c r="F2" s="77"/>
      <c r="G2" s="78"/>
    </row>
    <row r="3" spans="1:11" x14ac:dyDescent="0.3">
      <c r="B3" s="19" t="s">
        <v>104</v>
      </c>
      <c r="C3" s="8"/>
      <c r="D3" s="8"/>
      <c r="E3" s="8"/>
      <c r="F3" s="8"/>
      <c r="G3" s="20"/>
    </row>
    <row r="4" spans="1:11" x14ac:dyDescent="0.3">
      <c r="B4" s="79" t="s">
        <v>106</v>
      </c>
      <c r="C4" s="8">
        <f>0.85/100</f>
        <v>8.5000000000000006E-3</v>
      </c>
      <c r="D4" s="8" t="s">
        <v>86</v>
      </c>
      <c r="E4" s="98" t="s">
        <v>112</v>
      </c>
      <c r="F4" s="23" t="s">
        <v>132</v>
      </c>
      <c r="G4" s="24"/>
    </row>
    <row r="5" spans="1:11" x14ac:dyDescent="0.3">
      <c r="B5" s="79"/>
      <c r="C5" s="8"/>
      <c r="D5" s="8"/>
      <c r="E5" s="98"/>
      <c r="F5" s="9" t="s">
        <v>133</v>
      </c>
      <c r="G5" s="20"/>
    </row>
    <row r="6" spans="1:11" x14ac:dyDescent="0.3">
      <c r="B6" s="79"/>
      <c r="C6" s="8">
        <f>2.8/100</f>
        <v>2.7999999999999997E-2</v>
      </c>
      <c r="D6" s="8" t="s">
        <v>66</v>
      </c>
      <c r="E6" s="98"/>
      <c r="F6" s="9">
        <f>'Transport c&amp;e fuel vehicles'!C8</f>
        <v>245.01946365069313</v>
      </c>
      <c r="G6" s="20" t="s">
        <v>108</v>
      </c>
    </row>
    <row r="7" spans="1:11" x14ac:dyDescent="0.3">
      <c r="B7" s="19" t="s">
        <v>110</v>
      </c>
      <c r="C7" s="8">
        <v>70</v>
      </c>
      <c r="D7" s="8" t="s">
        <v>111</v>
      </c>
      <c r="E7" s="98"/>
      <c r="F7" s="47" t="s">
        <v>134</v>
      </c>
      <c r="G7" s="81"/>
    </row>
    <row r="8" spans="1:11" ht="15" thickBot="1" x14ac:dyDescent="0.35">
      <c r="A8" s="84" t="s">
        <v>109</v>
      </c>
      <c r="B8" s="21" t="s">
        <v>131</v>
      </c>
      <c r="C8" s="25">
        <f>'Passenger transport data'!D17*10^3</f>
        <v>724</v>
      </c>
      <c r="D8" s="22" t="s">
        <v>108</v>
      </c>
      <c r="E8" s="22"/>
      <c r="F8" s="82"/>
      <c r="G8" s="83"/>
    </row>
    <row r="9" spans="1:11" x14ac:dyDescent="0.3">
      <c r="A9" s="56"/>
      <c r="B9" s="11" t="s">
        <v>113</v>
      </c>
      <c r="C9" s="85" t="s">
        <v>130</v>
      </c>
      <c r="D9" s="85"/>
      <c r="E9" s="85"/>
      <c r="F9" s="85" t="s">
        <v>129</v>
      </c>
      <c r="G9" s="85"/>
      <c r="H9" s="1" t="s">
        <v>128</v>
      </c>
      <c r="I9" s="1" t="s">
        <v>118</v>
      </c>
      <c r="J9" s="1" t="s">
        <v>119</v>
      </c>
      <c r="K9" s="1" t="s">
        <v>117</v>
      </c>
    </row>
    <row r="10" spans="1:11" x14ac:dyDescent="0.3">
      <c r="A10" s="86" t="s">
        <v>88</v>
      </c>
      <c r="B10" s="86"/>
      <c r="C10" s="86"/>
      <c r="D10" s="86"/>
      <c r="E10" s="86"/>
      <c r="F10" s="86"/>
      <c r="G10" s="86"/>
      <c r="H10" s="86"/>
      <c r="I10" s="86"/>
      <c r="J10" s="86"/>
      <c r="K10" s="86"/>
    </row>
    <row r="11" spans="1:11" x14ac:dyDescent="0.3">
      <c r="A11" s="1">
        <v>1</v>
      </c>
      <c r="B11" s="1">
        <v>0</v>
      </c>
      <c r="C11" s="87">
        <f>C$4*B11/100</f>
        <v>0</v>
      </c>
      <c r="D11" s="87"/>
      <c r="E11" s="87"/>
      <c r="F11" s="93">
        <f>'Passenger transport data'!D12</f>
        <v>0.35397043135420986</v>
      </c>
      <c r="G11" s="93"/>
      <c r="H11" s="27">
        <f>F11/A11</f>
        <v>0.35397043135420986</v>
      </c>
      <c r="I11" s="1">
        <v>0</v>
      </c>
      <c r="J11" s="1">
        <f>C$8*F11</f>
        <v>256.27459230044792</v>
      </c>
      <c r="K11" s="27">
        <f>J11/A11</f>
        <v>256.27459230044792</v>
      </c>
    </row>
    <row r="12" spans="1:11" x14ac:dyDescent="0.3">
      <c r="A12" s="1">
        <v>2</v>
      </c>
      <c r="B12" s="1">
        <f>B11+C$7</f>
        <v>70</v>
      </c>
      <c r="C12" s="87">
        <f t="shared" ref="C12:C15" si="0">C$4*B12/100</f>
        <v>5.9500000000000004E-3</v>
      </c>
      <c r="D12" s="87"/>
      <c r="E12" s="87"/>
      <c r="F12" s="87">
        <f>F$11+C12</f>
        <v>0.35992043135420987</v>
      </c>
      <c r="G12" s="87"/>
      <c r="H12" s="27">
        <f t="shared" ref="H12:H15" si="1">F12/A12</f>
        <v>0.17996021567710493</v>
      </c>
      <c r="I12" s="1">
        <f>C$6*B12</f>
        <v>1.9599999999999997</v>
      </c>
      <c r="J12" s="1">
        <f>F12*(I12+J$11)</f>
        <v>92.943905851355737</v>
      </c>
      <c r="K12" s="27">
        <f t="shared" ref="K12:K15" si="2">J12/A12</f>
        <v>46.471952925677869</v>
      </c>
    </row>
    <row r="13" spans="1:11" x14ac:dyDescent="0.3">
      <c r="A13" s="1">
        <v>3</v>
      </c>
      <c r="B13" s="1">
        <f t="shared" ref="B13:B15" si="3">B12+C$7</f>
        <v>140</v>
      </c>
      <c r="C13" s="87">
        <f t="shared" si="0"/>
        <v>1.1900000000000001E-2</v>
      </c>
      <c r="D13" s="87"/>
      <c r="E13" s="87"/>
      <c r="F13" s="87">
        <f t="shared" ref="F13:F15" si="4">F$11+C13</f>
        <v>0.36587043135420988</v>
      </c>
      <c r="G13" s="87"/>
      <c r="H13" s="27">
        <f t="shared" si="1"/>
        <v>0.12195681045140329</v>
      </c>
      <c r="I13" s="1">
        <f t="shared" ref="I13:I15" si="5">C$6*B13</f>
        <v>3.9199999999999995</v>
      </c>
      <c r="J13" s="1">
        <f t="shared" ref="J13:J15" si="6">F13*(I13+J$11)</f>
        <v>95.197507720997663</v>
      </c>
      <c r="K13" s="27">
        <f t="shared" si="2"/>
        <v>31.732502573665887</v>
      </c>
    </row>
    <row r="14" spans="1:11" x14ac:dyDescent="0.3">
      <c r="A14" s="1">
        <v>4</v>
      </c>
      <c r="B14" s="1">
        <f t="shared" si="3"/>
        <v>210</v>
      </c>
      <c r="C14" s="87">
        <f t="shared" si="0"/>
        <v>1.7850000000000001E-2</v>
      </c>
      <c r="D14" s="87"/>
      <c r="E14" s="87"/>
      <c r="F14" s="87">
        <f t="shared" si="4"/>
        <v>0.37182043135420983</v>
      </c>
      <c r="G14" s="87"/>
      <c r="H14" s="27">
        <f t="shared" si="1"/>
        <v>9.2955107838552459E-2</v>
      </c>
      <c r="I14" s="1">
        <f t="shared" si="5"/>
        <v>5.879999999999999</v>
      </c>
      <c r="J14" s="1">
        <f t="shared" si="6"/>
        <v>97.474433590639563</v>
      </c>
      <c r="K14" s="27">
        <f t="shared" si="2"/>
        <v>24.368608397659891</v>
      </c>
    </row>
    <row r="15" spans="1:11" x14ac:dyDescent="0.3">
      <c r="A15" s="1">
        <v>5</v>
      </c>
      <c r="B15" s="1">
        <f t="shared" si="3"/>
        <v>280</v>
      </c>
      <c r="C15" s="87">
        <f t="shared" si="0"/>
        <v>2.3800000000000002E-2</v>
      </c>
      <c r="D15" s="87"/>
      <c r="E15" s="87"/>
      <c r="F15" s="87">
        <f t="shared" si="4"/>
        <v>0.37777043135420985</v>
      </c>
      <c r="G15" s="87"/>
      <c r="H15" s="27">
        <f t="shared" si="1"/>
        <v>7.5554086270841966E-2</v>
      </c>
      <c r="I15" s="1">
        <f t="shared" si="5"/>
        <v>7.839999999999999</v>
      </c>
      <c r="J15" s="1">
        <f t="shared" si="6"/>
        <v>99.774683460281466</v>
      </c>
      <c r="K15" s="27">
        <f t="shared" si="2"/>
        <v>19.954936692056293</v>
      </c>
    </row>
    <row r="16" spans="1:11" x14ac:dyDescent="0.3">
      <c r="A16" s="99" t="s">
        <v>89</v>
      </c>
      <c r="B16" s="100"/>
      <c r="C16" s="100"/>
      <c r="D16" s="100"/>
      <c r="E16" s="100"/>
      <c r="F16" s="100"/>
      <c r="G16" s="100"/>
      <c r="H16" s="100"/>
      <c r="I16" s="100"/>
      <c r="J16" s="100"/>
      <c r="K16" s="101"/>
    </row>
    <row r="17" spans="1:11" x14ac:dyDescent="0.3">
      <c r="A17" s="1">
        <v>1</v>
      </c>
      <c r="B17" s="1">
        <v>0</v>
      </c>
      <c r="C17" s="88">
        <f>B17*(0.5*C$4+0.5*'Transport c&amp;e fuel vehicles'!C$5)/100</f>
        <v>0</v>
      </c>
      <c r="D17" s="89"/>
      <c r="E17" s="90"/>
      <c r="F17" s="94">
        <f>'Passenger transport data'!D11</f>
        <v>0.67353700340732625</v>
      </c>
      <c r="G17" s="95"/>
      <c r="H17" s="27">
        <f>F17/A17</f>
        <v>0.67353700340732625</v>
      </c>
      <c r="I17" s="1">
        <v>0</v>
      </c>
      <c r="J17" s="1">
        <f>F17*(0.5*C$8+0.5*F$6)</f>
        <v>326.33523289533116</v>
      </c>
      <c r="K17" s="27">
        <f>J17/A17</f>
        <v>326.33523289533116</v>
      </c>
    </row>
    <row r="18" spans="1:11" x14ac:dyDescent="0.3">
      <c r="A18" s="1">
        <v>2</v>
      </c>
      <c r="B18" s="1">
        <f>C$7+B17</f>
        <v>70</v>
      </c>
      <c r="C18" s="88">
        <f>B18*(0.5*C$4+0.5*'Transport c&amp;e fuel vehicles'!C$5)/100</f>
        <v>1.6975000000000001E-2</v>
      </c>
      <c r="D18" s="89"/>
      <c r="E18" s="90"/>
      <c r="F18" s="88">
        <f>F$17+C18</f>
        <v>0.69051200340732621</v>
      </c>
      <c r="G18" s="90"/>
      <c r="H18" s="27">
        <f t="shared" ref="H18:H21" si="7">F18/A18</f>
        <v>0.34525600170366311</v>
      </c>
      <c r="I18" s="1">
        <f>B18*(0.5*C$6+0.5*'Transport c&amp;e fuel vehicles'!C$6)/100</f>
        <v>4.4800000000000006E-2</v>
      </c>
      <c r="J18" s="1">
        <f>F18*(I18+J$17)</f>
        <v>225.36933038670415</v>
      </c>
      <c r="K18" s="27">
        <f t="shared" ref="K18:K21" si="8">J18/A18</f>
        <v>112.68466519335207</v>
      </c>
    </row>
    <row r="19" spans="1:11" x14ac:dyDescent="0.3">
      <c r="A19" s="1">
        <v>3</v>
      </c>
      <c r="B19" s="1">
        <f t="shared" ref="B19:B21" si="9">C$7+B18</f>
        <v>140</v>
      </c>
      <c r="C19" s="88">
        <f>B19*(0.5*C$4+0.5*'Transport c&amp;e fuel vehicles'!C$5)/100</f>
        <v>3.3950000000000001E-2</v>
      </c>
      <c r="D19" s="89"/>
      <c r="E19" s="90"/>
      <c r="F19" s="88">
        <f t="shared" ref="F19:F21" si="10">F$17+C19</f>
        <v>0.70748700340732629</v>
      </c>
      <c r="G19" s="90"/>
      <c r="H19" s="27">
        <f t="shared" si="7"/>
        <v>0.23582900113577543</v>
      </c>
      <c r="I19" s="1">
        <f>B19*(0.5*C$6+0.5*'Transport c&amp;e fuel vehicles'!C$6)/100</f>
        <v>8.9600000000000013E-2</v>
      </c>
      <c r="J19" s="1">
        <f t="shared" ref="J19:J21" si="11">F19*(I19+J$17)</f>
        <v>230.94132686285508</v>
      </c>
      <c r="K19" s="27">
        <f t="shared" si="8"/>
        <v>76.980442287618359</v>
      </c>
    </row>
    <row r="20" spans="1:11" x14ac:dyDescent="0.3">
      <c r="A20" s="1">
        <v>4</v>
      </c>
      <c r="B20" s="1">
        <f t="shared" si="9"/>
        <v>210</v>
      </c>
      <c r="C20" s="88">
        <f>B20*(0.5*C$4+0.5*'Transport c&amp;e fuel vehicles'!C$5)/100</f>
        <v>5.0925000000000005E-2</v>
      </c>
      <c r="D20" s="89"/>
      <c r="E20" s="90"/>
      <c r="F20" s="88">
        <f t="shared" si="10"/>
        <v>0.72446200340732625</v>
      </c>
      <c r="G20" s="90"/>
      <c r="H20" s="27">
        <f t="shared" si="7"/>
        <v>0.18111550085183156</v>
      </c>
      <c r="I20" s="1">
        <f>B20*(0.5*C$6+0.5*'Transport c&amp;e fuel vehicles'!C$6)/100</f>
        <v>0.13439999999999999</v>
      </c>
      <c r="J20" s="1">
        <f t="shared" si="11"/>
        <v>236.51484429900597</v>
      </c>
      <c r="K20" s="27">
        <f t="shared" si="8"/>
        <v>59.128711074751493</v>
      </c>
    </row>
    <row r="21" spans="1:11" x14ac:dyDescent="0.3">
      <c r="A21" s="1">
        <v>5</v>
      </c>
      <c r="B21" s="1">
        <f t="shared" si="9"/>
        <v>280</v>
      </c>
      <c r="C21" s="88">
        <f>B21*(0.5*C$4+0.5*'Transport c&amp;e fuel vehicles'!C$5)/100</f>
        <v>6.7900000000000002E-2</v>
      </c>
      <c r="D21" s="89"/>
      <c r="E21" s="90"/>
      <c r="F21" s="88">
        <f t="shared" si="10"/>
        <v>0.74143700340732621</v>
      </c>
      <c r="G21" s="90"/>
      <c r="H21" s="27">
        <f t="shared" si="7"/>
        <v>0.14828740068146523</v>
      </c>
      <c r="I21" s="1">
        <f>B21*(0.5*C$6+0.5*'Transport c&amp;e fuel vehicles'!C$6)/100</f>
        <v>0.17920000000000003</v>
      </c>
      <c r="J21" s="1">
        <f t="shared" si="11"/>
        <v>242.08988269515683</v>
      </c>
      <c r="K21" s="27">
        <f t="shared" si="8"/>
        <v>48.417976539031365</v>
      </c>
    </row>
    <row r="22" spans="1:11" x14ac:dyDescent="0.3">
      <c r="A22" s="86" t="s">
        <v>124</v>
      </c>
      <c r="B22" s="86"/>
      <c r="C22" s="86"/>
      <c r="D22" s="86"/>
      <c r="E22" s="86"/>
      <c r="F22" s="86"/>
      <c r="G22" s="86"/>
      <c r="H22" s="86"/>
      <c r="I22" s="86"/>
      <c r="J22" s="86"/>
      <c r="K22" s="86"/>
    </row>
    <row r="23" spans="1:11" x14ac:dyDescent="0.3">
      <c r="A23" s="1">
        <v>1</v>
      </c>
      <c r="B23" s="1">
        <v>0</v>
      </c>
      <c r="C23" s="87">
        <f>C$5*B23/100</f>
        <v>0</v>
      </c>
      <c r="D23" s="87"/>
      <c r="E23" s="87"/>
      <c r="F23" s="93">
        <f>'electric veh relation'!F8</f>
        <v>0.14323454664100585</v>
      </c>
      <c r="G23" s="93"/>
      <c r="H23" s="27">
        <f>F23/A23</f>
        <v>0.14323454664100585</v>
      </c>
      <c r="I23" s="1">
        <v>0</v>
      </c>
      <c r="J23" s="1">
        <f>C$8*F23</f>
        <v>103.70181176808823</v>
      </c>
      <c r="K23" s="27">
        <f>J23/A23</f>
        <v>103.70181176808823</v>
      </c>
    </row>
    <row r="24" spans="1:11" x14ac:dyDescent="0.3">
      <c r="A24" s="1">
        <v>2</v>
      </c>
      <c r="B24" s="1">
        <f>C7+B23</f>
        <v>70</v>
      </c>
      <c r="C24" s="87">
        <f>C$5*B24/100</f>
        <v>0</v>
      </c>
      <c r="D24" s="87"/>
      <c r="E24" s="87"/>
      <c r="F24" s="87">
        <f>F23+C24</f>
        <v>0.14323454664100585</v>
      </c>
      <c r="G24" s="87"/>
      <c r="H24" s="27">
        <f>F24/A24</f>
        <v>7.1617273320502925E-2</v>
      </c>
      <c r="I24" s="1">
        <f>C6*B24</f>
        <v>1.9599999999999997</v>
      </c>
      <c r="J24" s="1">
        <f>F24*(I24+J23)</f>
        <v>15.134421705869414</v>
      </c>
      <c r="K24" s="27">
        <f>J24/A24</f>
        <v>7.5672108529347071</v>
      </c>
    </row>
    <row r="25" spans="1:11" x14ac:dyDescent="0.3">
      <c r="A25" s="99" t="s">
        <v>125</v>
      </c>
      <c r="B25" s="100"/>
      <c r="C25" s="100"/>
      <c r="D25" s="100"/>
      <c r="E25" s="100"/>
      <c r="F25" s="100"/>
      <c r="G25" s="100"/>
      <c r="H25" s="100"/>
      <c r="I25" s="100"/>
      <c r="J25" s="100"/>
      <c r="K25" s="101"/>
    </row>
    <row r="26" spans="1:11" x14ac:dyDescent="0.3">
      <c r="A26" s="1">
        <v>1</v>
      </c>
      <c r="B26" s="1">
        <v>0</v>
      </c>
      <c r="C26" s="88">
        <f>C$4*B26/100</f>
        <v>0</v>
      </c>
      <c r="D26" s="89"/>
      <c r="E26" s="90"/>
      <c r="F26" s="94">
        <f>'electric veh relation'!F9</f>
        <v>1.2862297650952394E-2</v>
      </c>
      <c r="G26" s="95"/>
      <c r="H26" s="27">
        <f>F26/A26</f>
        <v>1.2862297650952394E-2</v>
      </c>
      <c r="I26" s="1">
        <v>0</v>
      </c>
      <c r="J26" s="1">
        <f>C$8*F26</f>
        <v>9.3123034992895342</v>
      </c>
      <c r="K26" s="27">
        <f>J26/A26</f>
        <v>9.3123034992895342</v>
      </c>
    </row>
    <row r="27" spans="1:11" x14ac:dyDescent="0.3">
      <c r="A27" s="99" t="s">
        <v>126</v>
      </c>
      <c r="B27" s="100"/>
      <c r="C27" s="100"/>
      <c r="D27" s="100"/>
      <c r="E27" s="100"/>
      <c r="F27" s="100"/>
      <c r="G27" s="100"/>
      <c r="H27" s="100"/>
      <c r="I27" s="100"/>
      <c r="J27" s="100"/>
      <c r="K27" s="101"/>
    </row>
    <row r="28" spans="1:11" x14ac:dyDescent="0.3">
      <c r="A28" s="1">
        <v>1</v>
      </c>
      <c r="B28" s="1">
        <v>0</v>
      </c>
      <c r="C28" s="88">
        <f>C$4*B28/100</f>
        <v>0</v>
      </c>
      <c r="D28" s="89"/>
      <c r="E28" s="90"/>
      <c r="F28" s="94">
        <f>'electric veh relation'!F10</f>
        <v>2.788546130726479E-2</v>
      </c>
      <c r="G28" s="95"/>
      <c r="H28" s="27">
        <f>F28/A28</f>
        <v>2.788546130726479E-2</v>
      </c>
      <c r="I28" s="1">
        <v>0</v>
      </c>
      <c r="J28" s="1">
        <f>C$8*F28</f>
        <v>20.189073986459707</v>
      </c>
      <c r="K28" s="27">
        <f>J28/A28</f>
        <v>20.189073986459707</v>
      </c>
    </row>
    <row r="29" spans="1:11" x14ac:dyDescent="0.3">
      <c r="A29" s="99" t="s">
        <v>127</v>
      </c>
      <c r="B29" s="100"/>
      <c r="C29" s="100"/>
      <c r="D29" s="100"/>
      <c r="E29" s="100"/>
      <c r="F29" s="100"/>
      <c r="G29" s="100"/>
      <c r="H29" s="100"/>
      <c r="I29" s="100"/>
      <c r="J29" s="100"/>
      <c r="K29" s="101"/>
    </row>
    <row r="30" spans="1:11" x14ac:dyDescent="0.3">
      <c r="A30" s="1">
        <v>1</v>
      </c>
      <c r="B30" s="1">
        <v>0</v>
      </c>
      <c r="C30" s="88">
        <f>C$4*B30/100</f>
        <v>0</v>
      </c>
      <c r="D30" s="89"/>
      <c r="E30" s="90"/>
      <c r="F30" s="94">
        <f>'Passenger transport data'!D24</f>
        <v>4.1544089950272953</v>
      </c>
      <c r="G30" s="95"/>
      <c r="H30" s="2">
        <f>F30/A30</f>
        <v>4.1544089950272953</v>
      </c>
      <c r="I30" s="1">
        <v>0</v>
      </c>
      <c r="J30" s="1">
        <f>C$8*F30</f>
        <v>3007.7921123997617</v>
      </c>
      <c r="K30" s="27">
        <f>J30/A30</f>
        <v>3007.7921123997617</v>
      </c>
    </row>
    <row r="31" spans="1:11" x14ac:dyDescent="0.3">
      <c r="A31" s="18">
        <f>'Passenger transport data'!H6</f>
        <v>25.647450015114217</v>
      </c>
      <c r="B31" s="1">
        <f>C$7*A31</f>
        <v>1795.3215010579952</v>
      </c>
      <c r="C31" s="88">
        <f t="shared" ref="C31:C33" si="12">C$4*B31/100</f>
        <v>0.15260232758992959</v>
      </c>
      <c r="D31" s="89"/>
      <c r="E31" s="90"/>
      <c r="F31" s="88">
        <f>F$30+C31</f>
        <v>4.3070113226172246</v>
      </c>
      <c r="G31" s="90"/>
      <c r="H31" s="27">
        <f t="shared" ref="H31:H33" si="13">F31/A31</f>
        <v>0.16793136627926261</v>
      </c>
      <c r="I31" s="1">
        <f>C$6*B31</f>
        <v>50.269002029623863</v>
      </c>
      <c r="J31" s="1">
        <f>F31*(I31+J$30)</f>
        <v>13171.103845102813</v>
      </c>
      <c r="K31" s="27">
        <f t="shared" ref="K31:K33" si="14">J31/A31</f>
        <v>513.54438111161119</v>
      </c>
    </row>
    <row r="32" spans="1:11" x14ac:dyDescent="0.3">
      <c r="A32" s="18">
        <f>'Passenger transport data'!I6</f>
        <v>80.652358538095029</v>
      </c>
      <c r="B32" s="1">
        <f>C$7*A32</f>
        <v>5645.6650976666524</v>
      </c>
      <c r="C32" s="88">
        <f t="shared" si="12"/>
        <v>0.4798815333016655</v>
      </c>
      <c r="D32" s="89"/>
      <c r="E32" s="90"/>
      <c r="F32" s="88">
        <f t="shared" ref="F32:F33" si="15">F$30+C32</f>
        <v>4.634290528328961</v>
      </c>
      <c r="G32" s="90"/>
      <c r="H32" s="27">
        <f t="shared" si="13"/>
        <v>5.7460074476805512E-2</v>
      </c>
      <c r="I32" s="1">
        <f t="shared" ref="I32:I33" si="16">C$6*B32</f>
        <v>158.07862273466625</v>
      </c>
      <c r="J32" s="1">
        <f t="shared" ref="J32:J33" si="17">F32*(I32+J$30)</f>
        <v>14671.564761747324</v>
      </c>
      <c r="K32" s="27">
        <f t="shared" si="14"/>
        <v>181.91116822476323</v>
      </c>
    </row>
    <row r="33" spans="1:11" x14ac:dyDescent="0.3">
      <c r="A33" s="18">
        <f>'Passenger transport data'!J6</f>
        <v>135.65726706107583</v>
      </c>
      <c r="B33" s="1">
        <f>C$7*A33</f>
        <v>9496.0086942753078</v>
      </c>
      <c r="C33" s="88">
        <f t="shared" si="12"/>
        <v>0.80716073901340124</v>
      </c>
      <c r="D33" s="89"/>
      <c r="E33" s="90"/>
      <c r="F33" s="88">
        <f t="shared" si="15"/>
        <v>4.9615697340406966</v>
      </c>
      <c r="G33" s="90"/>
      <c r="H33" s="27">
        <f t="shared" si="13"/>
        <v>3.6574301115817782E-2</v>
      </c>
      <c r="I33" s="1">
        <f t="shared" si="16"/>
        <v>265.88824343970862</v>
      </c>
      <c r="J33" s="1">
        <f t="shared" si="17"/>
        <v>16242.593372456695</v>
      </c>
      <c r="K33" s="27">
        <f t="shared" si="14"/>
        <v>119.73257109141031</v>
      </c>
    </row>
    <row r="34" spans="1:11" x14ac:dyDescent="0.3">
      <c r="A34" s="99" t="s">
        <v>102</v>
      </c>
      <c r="B34" s="100"/>
      <c r="C34" s="100"/>
      <c r="D34" s="100"/>
      <c r="E34" s="100"/>
      <c r="F34" s="100"/>
      <c r="G34" s="100"/>
      <c r="H34" s="100"/>
      <c r="I34" s="100"/>
      <c r="J34" s="100"/>
      <c r="K34" s="101"/>
    </row>
    <row r="35" spans="1:11" x14ac:dyDescent="0.3">
      <c r="A35" s="1">
        <v>1</v>
      </c>
      <c r="B35" s="1">
        <v>0</v>
      </c>
      <c r="C35" s="88">
        <f>C$4*B35/100</f>
        <v>0</v>
      </c>
      <c r="D35" s="89"/>
      <c r="E35" s="90"/>
      <c r="F35" s="94">
        <f>'Passenger transport data'!D26</f>
        <v>13.416941468302641</v>
      </c>
      <c r="G35" s="95"/>
      <c r="H35" s="2">
        <f>F35/A35</f>
        <v>13.416941468302641</v>
      </c>
      <c r="I35" s="1">
        <v>0</v>
      </c>
      <c r="J35" s="34">
        <f>C$8*F35</f>
        <v>9713.8656230511115</v>
      </c>
      <c r="K35" s="27">
        <f>J35/A35</f>
        <v>9713.8656230511115</v>
      </c>
    </row>
    <row r="36" spans="1:11" x14ac:dyDescent="0.3">
      <c r="A36" s="18">
        <f>'Passenger transport data'!H7</f>
        <v>38.944002853873577</v>
      </c>
      <c r="B36" s="1">
        <f>C$7*A36</f>
        <v>2726.0801997711505</v>
      </c>
      <c r="C36" s="88">
        <f t="shared" ref="C36:C38" si="18">C$4*B36/100</f>
        <v>0.2317168169805478</v>
      </c>
      <c r="D36" s="89"/>
      <c r="E36" s="90"/>
      <c r="F36" s="88">
        <f>F$35+C36</f>
        <v>13.648658285283188</v>
      </c>
      <c r="G36" s="90"/>
      <c r="H36" s="27">
        <f t="shared" ref="H36:H38" si="19">F36/A36</f>
        <v>0.35046880867629199</v>
      </c>
      <c r="I36" s="1">
        <f>C$6*B36</f>
        <v>76.33024559359221</v>
      </c>
      <c r="J36" s="34">
        <f>F36*(I36+J$35)</f>
        <v>133623.03795712278</v>
      </c>
      <c r="K36" s="27">
        <f t="shared" ref="K36:K38" si="20">J36/A36</f>
        <v>3431.1582827914654</v>
      </c>
    </row>
    <row r="37" spans="1:11" x14ac:dyDescent="0.3">
      <c r="A37" s="18">
        <f>'Passenger transport data'!I7</f>
        <v>122.46541777947665</v>
      </c>
      <c r="B37" s="1">
        <f t="shared" ref="B37:B38" si="21">C$7*A37</f>
        <v>8572.5792445633651</v>
      </c>
      <c r="C37" s="88">
        <f t="shared" si="18"/>
        <v>0.72866923578788612</v>
      </c>
      <c r="D37" s="89"/>
      <c r="E37" s="90"/>
      <c r="F37" s="88">
        <f t="shared" ref="F37:F38" si="22">F$35+C37</f>
        <v>14.145610704090526</v>
      </c>
      <c r="G37" s="90"/>
      <c r="H37" s="27">
        <f t="shared" si="19"/>
        <v>0.11550698115906086</v>
      </c>
      <c r="I37" s="1">
        <f t="shared" ref="I37:I38" si="23">C$6*B37</f>
        <v>240.0322188477742</v>
      </c>
      <c r="J37" s="34">
        <f t="shared" ref="J37:J38" si="24">F37*(I37+J$35)</f>
        <v>140803.96385978846</v>
      </c>
      <c r="K37" s="27">
        <f t="shared" si="20"/>
        <v>1149.744690483431</v>
      </c>
    </row>
    <row r="38" spans="1:11" x14ac:dyDescent="0.3">
      <c r="A38" s="18">
        <f>'Passenger transport data'!J7</f>
        <v>205.98683270507973</v>
      </c>
      <c r="B38" s="1">
        <f t="shared" si="21"/>
        <v>14419.078289355581</v>
      </c>
      <c r="C38" s="88">
        <f t="shared" si="18"/>
        <v>1.2256216545952245</v>
      </c>
      <c r="D38" s="89"/>
      <c r="E38" s="90"/>
      <c r="F38" s="88">
        <f t="shared" si="22"/>
        <v>14.642563122897865</v>
      </c>
      <c r="G38" s="90"/>
      <c r="H38" s="27">
        <f t="shared" si="19"/>
        <v>7.108494718136793E-2</v>
      </c>
      <c r="I38" s="1">
        <f t="shared" si="23"/>
        <v>403.73419210195624</v>
      </c>
      <c r="J38" s="34">
        <f t="shared" si="24"/>
        <v>148147.59394559855</v>
      </c>
      <c r="K38" s="27">
        <f t="shared" si="20"/>
        <v>719.20904846237363</v>
      </c>
    </row>
    <row r="39" spans="1:11" x14ac:dyDescent="0.3">
      <c r="A39" s="86" t="s">
        <v>103</v>
      </c>
      <c r="B39" s="86"/>
      <c r="C39" s="86"/>
      <c r="D39" s="86"/>
      <c r="E39" s="86"/>
      <c r="F39" s="86"/>
      <c r="G39" s="86"/>
      <c r="H39" s="86"/>
      <c r="I39" s="86"/>
      <c r="J39" s="86"/>
      <c r="K39" s="86"/>
    </row>
    <row r="40" spans="1:11" x14ac:dyDescent="0.3">
      <c r="A40" s="1">
        <v>1</v>
      </c>
      <c r="B40" s="1">
        <v>0</v>
      </c>
      <c r="C40" s="88">
        <f>B40*C$4/100</f>
        <v>0</v>
      </c>
      <c r="D40" s="89"/>
      <c r="E40" s="90"/>
      <c r="F40" s="94">
        <f>'Passenger transport data'!D27</f>
        <v>24.803522973412537</v>
      </c>
      <c r="G40" s="95"/>
      <c r="H40" s="1">
        <f>F40/A40</f>
        <v>24.803522973412537</v>
      </c>
      <c r="I40" s="1">
        <v>0</v>
      </c>
      <c r="J40" s="1">
        <f>C$8*F40</f>
        <v>17957.750632750678</v>
      </c>
      <c r="K40" s="1">
        <f>J40/A40</f>
        <v>17957.750632750678</v>
      </c>
    </row>
    <row r="41" spans="1:11" x14ac:dyDescent="0.3">
      <c r="A41" s="18">
        <f>'Passenger transport data'!H8</f>
        <v>74.969469274949248</v>
      </c>
      <c r="B41" s="1">
        <f>C$7*A41</f>
        <v>5247.8628492464477</v>
      </c>
      <c r="C41" s="88">
        <f t="shared" ref="C41:C43" si="25">B41*C$4/100</f>
        <v>0.44606834218594804</v>
      </c>
      <c r="D41" s="89"/>
      <c r="E41" s="90"/>
      <c r="F41" s="88">
        <f>F$40+C41</f>
        <v>25.249591315598487</v>
      </c>
      <c r="G41" s="90"/>
      <c r="H41" s="27">
        <f t="shared" ref="H41:H43" si="26">F41/A41</f>
        <v>0.3367983201667874</v>
      </c>
      <c r="I41" s="1">
        <f>C$6*B41</f>
        <v>146.94015977890052</v>
      </c>
      <c r="J41" s="1">
        <f>F41*(I41+J$40)</f>
        <v>457136.04340665072</v>
      </c>
      <c r="K41" s="27">
        <f t="shared" ref="K41:K43" si="27">J41/A41</f>
        <v>6097.6294460630643</v>
      </c>
    </row>
    <row r="42" spans="1:11" x14ac:dyDescent="0.3">
      <c r="A42" s="18">
        <f>'Passenger transport data'!I8</f>
        <v>235.7530480344316</v>
      </c>
      <c r="B42" s="1">
        <f t="shared" ref="B42:B43" si="28">C$7*A42</f>
        <v>16502.713362410213</v>
      </c>
      <c r="C42" s="88">
        <f t="shared" si="25"/>
        <v>1.4027306358048681</v>
      </c>
      <c r="D42" s="89"/>
      <c r="E42" s="90"/>
      <c r="F42" s="88">
        <f>F$40+C42</f>
        <v>26.206253609217406</v>
      </c>
      <c r="G42" s="90"/>
      <c r="H42" s="27">
        <f t="shared" si="26"/>
        <v>0.11115976581303838</v>
      </c>
      <c r="I42" s="1">
        <f t="shared" ref="I42:I43" si="29">C$6*B42</f>
        <v>462.07597414748591</v>
      </c>
      <c r="J42" s="1">
        <f t="shared" ref="J42:J43" si="30">F42*(I42+J$40)</f>
        <v>482714.64749818383</v>
      </c>
      <c r="K42" s="27">
        <f t="shared" si="27"/>
        <v>2047.5436119395733</v>
      </c>
    </row>
    <row r="43" spans="1:11" x14ac:dyDescent="0.3">
      <c r="A43" s="18">
        <f>'Passenger transport data'!J8</f>
        <v>396.53662679391391</v>
      </c>
      <c r="B43" s="1">
        <f t="shared" si="28"/>
        <v>27757.563875573975</v>
      </c>
      <c r="C43" s="88">
        <f t="shared" si="25"/>
        <v>2.3593929294237883</v>
      </c>
      <c r="D43" s="89"/>
      <c r="E43" s="90"/>
      <c r="F43" s="88">
        <f t="shared" ref="F43" si="31">F$40+C43</f>
        <v>27.162915902836325</v>
      </c>
      <c r="G43" s="90"/>
      <c r="H43" s="27">
        <f t="shared" si="26"/>
        <v>6.8500395846039466E-2</v>
      </c>
      <c r="I43" s="1">
        <f t="shared" si="29"/>
        <v>777.21178851607124</v>
      </c>
      <c r="J43" s="1">
        <f t="shared" si="30"/>
        <v>508896.20869166747</v>
      </c>
      <c r="K43" s="27">
        <f t="shared" si="27"/>
        <v>1283.3523420174463</v>
      </c>
    </row>
  </sheetData>
  <mergeCells count="67">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 ref="B2:G2"/>
    <mergeCell ref="B4:B6"/>
    <mergeCell ref="E4:E7"/>
    <mergeCell ref="A10:K10"/>
    <mergeCell ref="C11:E11"/>
    <mergeCell ref="F11:G11"/>
    <mergeCell ref="A8:A9"/>
    <mergeCell ref="C9:E9"/>
    <mergeCell ref="F9:G9"/>
    <mergeCell ref="F7:G8"/>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C38:E38"/>
    <mergeCell ref="C42:E42"/>
    <mergeCell ref="F42:G42"/>
    <mergeCell ref="F35:G35"/>
    <mergeCell ref="F36:G36"/>
    <mergeCell ref="F37:G37"/>
    <mergeCell ref="F38:G38"/>
    <mergeCell ref="C37:E37"/>
    <mergeCell ref="C36:E36"/>
    <mergeCell ref="C35:E35"/>
    <mergeCell ref="C19:E19"/>
    <mergeCell ref="C20:E20"/>
    <mergeCell ref="C21:E21"/>
    <mergeCell ref="C24:E24"/>
    <mergeCell ref="C23:E23"/>
    <mergeCell ref="A25:K25"/>
    <mergeCell ref="A27:K27"/>
    <mergeCell ref="A29:K29"/>
    <mergeCell ref="A34:K34"/>
    <mergeCell ref="C26:E26"/>
    <mergeCell ref="C28:E28"/>
    <mergeCell ref="C33:E33"/>
    <mergeCell ref="F26:G26"/>
    <mergeCell ref="F28:G28"/>
    <mergeCell ref="F30:G30"/>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5"/>
      <c r="F6" s="1" t="s">
        <v>41</v>
      </c>
    </row>
    <row r="7" spans="1:6" x14ac:dyDescent="0.3">
      <c r="B7" s="1" t="s">
        <v>97</v>
      </c>
      <c r="C7" s="1">
        <v>17.2</v>
      </c>
      <c r="D7" s="1">
        <f>C7/100</f>
        <v>0.17199999999999999</v>
      </c>
      <c r="E7" s="1" t="s">
        <v>98</v>
      </c>
      <c r="F7" s="26">
        <f>'Passenger transport data'!D12</f>
        <v>0.35397043135420986</v>
      </c>
    </row>
    <row r="8" spans="1:6" x14ac:dyDescent="0.3">
      <c r="B8" s="1" t="s">
        <v>99</v>
      </c>
      <c r="C8" s="1">
        <v>6.96</v>
      </c>
      <c r="D8" s="1">
        <f t="shared" ref="D8:D10" si="0">C8/100</f>
        <v>6.9599999999999995E-2</v>
      </c>
      <c r="E8" s="1">
        <f>D8/D$7</f>
        <v>0.40465116279069768</v>
      </c>
      <c r="F8" s="1">
        <f>F$7*E8</f>
        <v>0.14323454664100585</v>
      </c>
    </row>
    <row r="9" spans="1:6" x14ac:dyDescent="0.3">
      <c r="B9" s="1" t="s">
        <v>100</v>
      </c>
      <c r="C9" s="1">
        <v>0.625</v>
      </c>
      <c r="D9" s="1">
        <f t="shared" si="0"/>
        <v>6.2500000000000003E-3</v>
      </c>
      <c r="E9" s="1">
        <f>D9/D$7</f>
        <v>3.6337209302325583E-2</v>
      </c>
      <c r="F9" s="1">
        <f t="shared" ref="F9:F10" si="1">F$7*E9</f>
        <v>1.2862297650952394E-2</v>
      </c>
    </row>
    <row r="10" spans="1:6" x14ac:dyDescent="0.3">
      <c r="B10" s="1" t="s">
        <v>101</v>
      </c>
      <c r="C10" s="1">
        <v>1.355</v>
      </c>
      <c r="D10" s="1">
        <f t="shared" si="0"/>
        <v>1.355E-2</v>
      </c>
      <c r="E10" s="1">
        <f>D10/D$7</f>
        <v>7.8779069767441867E-2</v>
      </c>
      <c r="F10" s="1">
        <f t="shared" si="1"/>
        <v>2.788546130726479E-2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3.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2022-06-27T08:28:47Z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