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3" documentId="8_{4C372892-E9C3-428B-950B-C5A505A38EBC}" xr6:coauthVersionLast="47" xr6:coauthVersionMax="47" xr10:uidLastSave="{CD14766C-C85E-4B14-91CE-0514F86960EC}"/>
  <bookViews>
    <workbookView xWindow="-108" yWindow="-108" windowWidth="23256" windowHeight="12456"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3" l="1"/>
  <c r="B6" i="3" s="1"/>
  <c r="C16" i="11"/>
  <c r="C15" i="11"/>
  <c r="B33" i="4" l="1"/>
  <c r="B32" i="4"/>
  <c r="B31" i="4"/>
  <c r="B27" i="4"/>
  <c r="B26" i="4"/>
  <c r="B25" i="4"/>
  <c r="B24" i="4"/>
  <c r="B22" i="4"/>
  <c r="B21" i="4"/>
  <c r="B20" i="4"/>
  <c r="B16" i="4"/>
  <c r="B15" i="4"/>
  <c r="B13" i="4"/>
  <c r="B12" i="4"/>
  <c r="B11" i="4"/>
  <c r="B10" i="4"/>
  <c r="B8" i="4"/>
  <c r="B6" i="4"/>
  <c r="D10" i="1"/>
  <c r="B10" i="1"/>
  <c r="B4" i="1" l="1"/>
  <c r="B3" i="1"/>
  <c r="H6" i="12"/>
  <c r="H4" i="12" l="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3" i="10"/>
  <c r="B13" i="10" s="1"/>
  <c r="A23" i="10"/>
  <c r="B23" i="10" s="1"/>
  <c r="A33" i="10"/>
  <c r="B33" i="10" s="1"/>
  <c r="A18" i="10"/>
  <c r="B18" i="10" s="1"/>
  <c r="A28" i="10"/>
  <c r="B28" i="10" s="1"/>
  <c r="H8" i="4"/>
  <c r="A42" i="9"/>
  <c r="B42" i="9" s="1"/>
  <c r="I42" i="9" s="1"/>
  <c r="J8" i="4"/>
  <c r="H7" i="4"/>
  <c r="A37" i="9"/>
  <c r="B37" i="9" s="1"/>
  <c r="J7" i="4"/>
  <c r="J6" i="4"/>
  <c r="A32" i="9"/>
  <c r="B32" i="9" s="1"/>
  <c r="H5" i="4"/>
  <c r="A22" i="8"/>
  <c r="B22" i="8" s="1"/>
  <c r="I22" i="8" s="1"/>
  <c r="H6" i="4"/>
  <c r="J5" i="4"/>
  <c r="D33" i="4"/>
  <c r="D32" i="4"/>
  <c r="A41" i="9" l="1"/>
  <c r="B41" i="9" s="1"/>
  <c r="I41" i="9" s="1"/>
  <c r="A45" i="12"/>
  <c r="A43" i="9"/>
  <c r="B43" i="9" s="1"/>
  <c r="A47" i="12"/>
  <c r="A38" i="9"/>
  <c r="B38" i="9" s="1"/>
  <c r="A39" i="12"/>
  <c r="A28" i="8"/>
  <c r="B28" i="8" s="1"/>
  <c r="A36" i="9"/>
  <c r="B36" i="9" s="1"/>
  <c r="A37" i="12"/>
  <c r="A26" i="8"/>
  <c r="B26" i="8" s="1"/>
  <c r="I27" i="8"/>
  <c r="C27" i="8"/>
  <c r="F27" i="8" s="1"/>
  <c r="A42" i="12"/>
  <c r="A33" i="9"/>
  <c r="A51" i="12"/>
  <c r="A31" i="9"/>
  <c r="B31" i="9" s="1"/>
  <c r="A49" i="12"/>
  <c r="A21" i="8"/>
  <c r="B21" i="8" s="1"/>
  <c r="I21" i="8" s="1"/>
  <c r="A17" i="12"/>
  <c r="A22" i="10"/>
  <c r="B22" i="10" s="1"/>
  <c r="A32" i="10"/>
  <c r="B32" i="10" s="1"/>
  <c r="A17" i="10"/>
  <c r="B17" i="10" s="1"/>
  <c r="A12" i="10"/>
  <c r="B12" i="10" s="1"/>
  <c r="A27" i="10"/>
  <c r="B27" i="10" s="1"/>
  <c r="I28" i="10"/>
  <c r="C28" i="10"/>
  <c r="C33" i="10"/>
  <c r="I33" i="10"/>
  <c r="I23" i="10"/>
  <c r="C23" i="10"/>
  <c r="C13" i="10"/>
  <c r="I13" i="10"/>
  <c r="C18" i="10"/>
  <c r="I18" i="10"/>
  <c r="A19" i="12"/>
  <c r="A34" i="10"/>
  <c r="B34" i="10" s="1"/>
  <c r="A19" i="10"/>
  <c r="B19" i="10" s="1"/>
  <c r="A24" i="10"/>
  <c r="B24" i="10" s="1"/>
  <c r="A14" i="10"/>
  <c r="B14" i="10" s="1"/>
  <c r="A29" i="10"/>
  <c r="B29" i="10" s="1"/>
  <c r="A26" i="12"/>
  <c r="A34" i="12"/>
  <c r="A30" i="12"/>
  <c r="A22" i="12"/>
  <c r="C43" i="9"/>
  <c r="I43" i="9"/>
  <c r="C42" i="9"/>
  <c r="C41" i="9"/>
  <c r="I38" i="9"/>
  <c r="C38" i="9"/>
  <c r="I37" i="9"/>
  <c r="C37" i="9"/>
  <c r="C36" i="9"/>
  <c r="I36" i="9"/>
  <c r="C32" i="9"/>
  <c r="I32" i="9"/>
  <c r="I31" i="9"/>
  <c r="C31"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I26" i="8"/>
  <c r="C26" i="8"/>
  <c r="F26" i="8" s="1"/>
  <c r="A41" i="12"/>
  <c r="B37" i="12"/>
  <c r="I28" i="8"/>
  <c r="C28" i="8"/>
  <c r="F28" i="8" s="1"/>
  <c r="A43" i="12"/>
  <c r="H27" i="8"/>
  <c r="J27" i="8"/>
  <c r="K27" i="8" s="1"/>
  <c r="B42" i="12"/>
  <c r="C42" i="12"/>
  <c r="F20" i="8"/>
  <c r="B4" i="12"/>
  <c r="F11" i="10"/>
  <c r="H11" i="10" s="1"/>
  <c r="F31" i="10"/>
  <c r="H31" i="10" s="1"/>
  <c r="F26" i="10"/>
  <c r="F21" i="10"/>
  <c r="F16" i="10"/>
  <c r="H16" i="10" s="1"/>
  <c r="F28" i="10"/>
  <c r="H28" i="10" s="1"/>
  <c r="I29" i="10"/>
  <c r="C29" i="10"/>
  <c r="I12" i="10"/>
  <c r="C12" i="10"/>
  <c r="C27" i="10"/>
  <c r="F27" i="10" s="1"/>
  <c r="I27" i="10"/>
  <c r="C19" i="10"/>
  <c r="F19" i="10" s="1"/>
  <c r="H19" i="10" s="1"/>
  <c r="I19" i="10"/>
  <c r="I32" i="10"/>
  <c r="C32" i="10"/>
  <c r="F32" i="10" s="1"/>
  <c r="H32" i="10" s="1"/>
  <c r="C14" i="10"/>
  <c r="I14" i="10"/>
  <c r="I17" i="10"/>
  <c r="C17" i="10"/>
  <c r="F17" i="10" s="1"/>
  <c r="H17" i="10" s="1"/>
  <c r="C34" i="10"/>
  <c r="I34" i="10"/>
  <c r="I22" i="10"/>
  <c r="C22" i="10"/>
  <c r="A31" i="12"/>
  <c r="A35" i="12"/>
  <c r="A27" i="12"/>
  <c r="A23" i="12"/>
  <c r="A25" i="12"/>
  <c r="A33" i="12"/>
  <c r="A29" i="12"/>
  <c r="A21" i="12"/>
  <c r="I24" i="10"/>
  <c r="C24" i="10"/>
  <c r="C8" i="9"/>
  <c r="H3" i="12"/>
  <c r="C10" i="11"/>
  <c r="C8" i="8"/>
  <c r="J11" i="8" s="1"/>
  <c r="K11" i="8" s="1"/>
  <c r="F41" i="9"/>
  <c r="H41" i="9" s="1"/>
  <c r="F42" i="9"/>
  <c r="H42" i="9" s="1"/>
  <c r="F43" i="9"/>
  <c r="H43" i="9" s="1"/>
  <c r="F38" i="9"/>
  <c r="H38" i="9" s="1"/>
  <c r="F37" i="9"/>
  <c r="H37" i="9" s="1"/>
  <c r="F36" i="9"/>
  <c r="H36" i="9" s="1"/>
  <c r="F31" i="9"/>
  <c r="H31" i="9" s="1"/>
  <c r="F32" i="9"/>
  <c r="H32" i="9" s="1"/>
  <c r="H20" i="8"/>
  <c r="F21" i="8"/>
  <c r="F22" i="8"/>
  <c r="F11" i="9"/>
  <c r="F7" i="7"/>
  <c r="H17" i="9"/>
  <c r="F19" i="9"/>
  <c r="F20" i="9"/>
  <c r="F21" i="9"/>
  <c r="F18" i="9"/>
  <c r="H11" i="8"/>
  <c r="F13" i="8"/>
  <c r="F12" i="8"/>
  <c r="F14" i="8"/>
  <c r="F15" i="8"/>
  <c r="H17" i="8"/>
  <c r="F18" i="8"/>
  <c r="C23" i="8"/>
  <c r="F23" i="8" s="1"/>
  <c r="I33" i="9"/>
  <c r="C33" i="9"/>
  <c r="F33" i="9" s="1"/>
  <c r="E10" i="1"/>
  <c r="F24" i="10" l="1"/>
  <c r="F29" i="10"/>
  <c r="F22" i="10"/>
  <c r="F33" i="10"/>
  <c r="H33" i="10" s="1"/>
  <c r="F34" i="10"/>
  <c r="H34" i="10" s="1"/>
  <c r="B45" i="12"/>
  <c r="B47" i="12"/>
  <c r="B39" i="12"/>
  <c r="B49" i="12"/>
  <c r="B51" i="12"/>
  <c r="B43" i="12"/>
  <c r="C43" i="12"/>
  <c r="H28" i="8"/>
  <c r="J28" i="8"/>
  <c r="K28" i="8" s="1"/>
  <c r="B41" i="12"/>
  <c r="C41" i="12"/>
  <c r="H26" i="8"/>
  <c r="J26" i="8"/>
  <c r="K26" i="8" s="1"/>
  <c r="J17" i="8"/>
  <c r="K17" i="8" s="1"/>
  <c r="J13" i="8"/>
  <c r="J18" i="8"/>
  <c r="K18" i="8" s="1"/>
  <c r="J15" i="8"/>
  <c r="J20" i="8"/>
  <c r="K20" i="8" s="1"/>
  <c r="J14" i="8"/>
  <c r="K14" i="8" s="1"/>
  <c r="J12" i="8"/>
  <c r="B8" i="12"/>
  <c r="B5" i="12"/>
  <c r="B22" i="12" s="1"/>
  <c r="B7" i="12"/>
  <c r="B34" i="12" s="1"/>
  <c r="B6" i="12"/>
  <c r="B27" i="12" s="1"/>
  <c r="B18" i="12"/>
  <c r="B17" i="12"/>
  <c r="F14" i="10"/>
  <c r="H14" i="10" s="1"/>
  <c r="F13" i="10"/>
  <c r="H13" i="10" s="1"/>
  <c r="B23" i="12"/>
  <c r="H21" i="10"/>
  <c r="J21" i="10"/>
  <c r="K21" i="10" s="1"/>
  <c r="F23" i="10"/>
  <c r="B21" i="12"/>
  <c r="B19" i="12"/>
  <c r="F12" i="10"/>
  <c r="H12" i="10" s="1"/>
  <c r="J26" i="10"/>
  <c r="H26" i="10"/>
  <c r="F18" i="10"/>
  <c r="H18" i="10" s="1"/>
  <c r="B25" i="12"/>
  <c r="J22" i="10"/>
  <c r="K22" i="10" s="1"/>
  <c r="H22" i="10"/>
  <c r="H27" i="10"/>
  <c r="H24" i="10"/>
  <c r="J29" i="10"/>
  <c r="K29" i="10" s="1"/>
  <c r="H29" i="10"/>
  <c r="B29" i="12"/>
  <c r="B31" i="12"/>
  <c r="J35" i="9"/>
  <c r="K35" i="9" s="1"/>
  <c r="J40" i="9"/>
  <c r="J43" i="9" s="1"/>
  <c r="K43" i="9" s="1"/>
  <c r="J30" i="9"/>
  <c r="J31" i="9" s="1"/>
  <c r="K31" i="9" s="1"/>
  <c r="I8" i="10"/>
  <c r="E2" i="11"/>
  <c r="C11" i="12"/>
  <c r="C9" i="12"/>
  <c r="H8" i="12"/>
  <c r="C7" i="12" s="1"/>
  <c r="C12" i="12"/>
  <c r="C5" i="12"/>
  <c r="H22" i="8"/>
  <c r="H21" i="8"/>
  <c r="J32" i="9"/>
  <c r="K32" i="9" s="1"/>
  <c r="K40" i="9"/>
  <c r="J33" i="9"/>
  <c r="K33" i="9" s="1"/>
  <c r="F6" i="9"/>
  <c r="J17" i="9" s="1"/>
  <c r="J18" i="9" s="1"/>
  <c r="F8" i="7"/>
  <c r="F23" i="9" s="1"/>
  <c r="F9" i="7"/>
  <c r="F26" i="9" s="1"/>
  <c r="F10" i="7"/>
  <c r="F28" i="9" s="1"/>
  <c r="J11" i="9"/>
  <c r="H11" i="9"/>
  <c r="F12" i="9"/>
  <c r="F13" i="9"/>
  <c r="F14" i="9"/>
  <c r="F15" i="9"/>
  <c r="H20" i="9"/>
  <c r="H21" i="9"/>
  <c r="H19" i="9"/>
  <c r="H18" i="9"/>
  <c r="K13" i="8"/>
  <c r="H13" i="8"/>
  <c r="K15" i="8"/>
  <c r="H15" i="8"/>
  <c r="H12" i="8"/>
  <c r="K12" i="8"/>
  <c r="H14" i="8"/>
  <c r="H18" i="8"/>
  <c r="H23" i="8"/>
  <c r="H33" i="9"/>
  <c r="E9" i="3"/>
  <c r="E5" i="3"/>
  <c r="E3" i="3"/>
  <c r="C3" i="3" s="1"/>
  <c r="B33" i="12" l="1"/>
  <c r="B35" i="12"/>
  <c r="J41" i="9"/>
  <c r="K41" i="9" s="1"/>
  <c r="J42" i="9"/>
  <c r="K42" i="9" s="1"/>
  <c r="K30" i="9"/>
  <c r="J22" i="8"/>
  <c r="K22" i="8" s="1"/>
  <c r="J23" i="8"/>
  <c r="K23" i="8" s="1"/>
  <c r="J21" i="8"/>
  <c r="K21" i="8" s="1"/>
  <c r="J23" i="10"/>
  <c r="K23" i="10" s="1"/>
  <c r="H23" i="10"/>
  <c r="J24" i="10"/>
  <c r="K24" i="10" s="1"/>
  <c r="C6" i="12"/>
  <c r="B26" i="12"/>
  <c r="K26" i="10"/>
  <c r="J28" i="10"/>
  <c r="K28" i="10" s="1"/>
  <c r="J27" i="10"/>
  <c r="K27" i="10" s="1"/>
  <c r="C8" i="12"/>
  <c r="B30" i="12"/>
  <c r="C39" i="12"/>
  <c r="C37" i="12"/>
  <c r="C38" i="12"/>
  <c r="J37" i="9"/>
  <c r="K37" i="9" s="1"/>
  <c r="C46" i="12"/>
  <c r="C47" i="12"/>
  <c r="C45" i="12"/>
  <c r="J36" i="9"/>
  <c r="K36" i="9" s="1"/>
  <c r="K8" i="10"/>
  <c r="J31" i="10" s="1"/>
  <c r="H7" i="12"/>
  <c r="C4" i="12" s="1"/>
  <c r="J38" i="9"/>
  <c r="K38" i="9" s="1"/>
  <c r="J16" i="10"/>
  <c r="J11" i="10"/>
  <c r="C50" i="12"/>
  <c r="C49" i="12"/>
  <c r="C51" i="12"/>
  <c r="C35" i="12"/>
  <c r="C34" i="12"/>
  <c r="C33" i="12"/>
  <c r="C23" i="12"/>
  <c r="C21" i="12"/>
  <c r="C22"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5" i="12"/>
  <c r="C27" i="12"/>
  <c r="C30" i="12"/>
  <c r="C29" i="12"/>
  <c r="C31" i="12"/>
  <c r="J17" i="10"/>
  <c r="K17" i="10" s="1"/>
  <c r="J19" i="10"/>
  <c r="K19" i="10" s="1"/>
  <c r="K16" i="10"/>
  <c r="J18" i="10"/>
  <c r="K18" i="10" s="1"/>
  <c r="K31" i="10"/>
  <c r="J32" i="10"/>
  <c r="K32" i="10" s="1"/>
  <c r="J33" i="10"/>
  <c r="K33" i="10" s="1"/>
  <c r="J34" i="10"/>
  <c r="K34" i="10" s="1"/>
  <c r="K11" i="10"/>
  <c r="J13" i="10"/>
  <c r="K13" i="10" s="1"/>
  <c r="J12" i="10"/>
  <c r="K12" i="10" s="1"/>
  <c r="J14" i="10"/>
  <c r="K14" i="10" s="1"/>
  <c r="C17" i="12"/>
  <c r="C19" i="12"/>
  <c r="C18" i="12"/>
  <c r="E13" i="3"/>
  <c r="C13" i="3"/>
  <c r="K23" i="9"/>
  <c r="J24" i="9"/>
  <c r="K24" i="9" s="1"/>
  <c r="H24" i="9"/>
  <c r="G7" i="3"/>
  <c r="F7" i="3"/>
  <c r="D7" i="3"/>
  <c r="D6" i="3"/>
  <c r="F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<sst xmlns="http://schemas.openxmlformats.org/spreadsheetml/2006/main" count="307" uniqueCount="195">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</sst>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alignment horizontal="center" wrapText="1"/>
    </xf>
    <xf numFmtId="0" fontId="0" fillId="0" borderId="10" xfId="0" applyBorder="1" applyAlignment="1">
      <alignment horizontal="center"/>
    </xf>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0" fillId="0" borderId="1" xfId="0" applyFill="1" applyBorder="1" applyAlignment="1">
      <alignment horizontal="right"/>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FR/JRC-IDEES-2015_Residential_F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FR/JRC-IDEES-2015_Transport_F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5391.1233545486957</v>
          </cell>
        </row>
        <row r="162">
          <cell r="Q162">
            <v>1198.7189711132798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32180.208233998666</v>
          </cell>
        </row>
        <row r="56">
          <cell r="Q56">
            <v>90108.875839461354</v>
          </cell>
        </row>
      </sheetData>
      <sheetData sheetId="3">
        <row r="150">
          <cell r="Q150">
            <v>19.121451781995788</v>
          </cell>
        </row>
      </sheetData>
      <sheetData sheetId="4">
        <row r="62">
          <cell r="Q62">
            <v>3.4587491867617266</v>
          </cell>
        </row>
        <row r="64">
          <cell r="Q64">
            <v>5.9425281512454999</v>
          </cell>
        </row>
        <row r="65">
          <cell r="Q65">
            <v>4.9664289454153572</v>
          </cell>
        </row>
        <row r="68">
          <cell r="Q68">
            <v>3.2938512045902848</v>
          </cell>
        </row>
        <row r="69">
          <cell r="Q69">
            <v>2.7854456564332097</v>
          </cell>
        </row>
        <row r="70">
          <cell r="Q70">
            <v>52.124058921059181</v>
          </cell>
        </row>
      </sheetData>
      <sheetData sheetId="5">
        <row r="48">
          <cell r="Q48">
            <v>2.7265569212647374</v>
          </cell>
        </row>
        <row r="49">
          <cell r="Q49">
            <v>2.8759334350042436</v>
          </cell>
        </row>
      </sheetData>
      <sheetData sheetId="6" refreshError="1"/>
      <sheetData sheetId="7">
        <row r="62">
          <cell r="Q62">
            <v>76.707619528667124</v>
          </cell>
        </row>
        <row r="74">
          <cell r="Q74">
            <v>320</v>
          </cell>
        </row>
        <row r="77">
          <cell r="Q77">
            <v>560</v>
          </cell>
        </row>
      </sheetData>
      <sheetData sheetId="8">
        <row r="31">
          <cell r="Q31">
            <v>47.996426340577315</v>
          </cell>
        </row>
        <row r="33">
          <cell r="Q33">
            <v>214.32493096857209</v>
          </cell>
        </row>
        <row r="34">
          <cell r="Q34">
            <v>154.3857629970779</v>
          </cell>
        </row>
        <row r="35">
          <cell r="Q35">
            <v>238.79860023515224</v>
          </cell>
        </row>
      </sheetData>
      <sheetData sheetId="9">
        <row r="23">
          <cell r="Q23">
            <v>3.1024188000000001</v>
          </cell>
        </row>
      </sheetData>
      <sheetData sheetId="10">
        <row r="69">
          <cell r="Q69">
            <v>122.70458532182656</v>
          </cell>
        </row>
      </sheetData>
      <sheetData sheetId="11">
        <row r="37">
          <cell r="Q37">
            <v>5097.0584022320636</v>
          </cell>
        </row>
      </sheetData>
      <sheetData sheetId="12">
        <row r="41">
          <cell r="Q41">
            <v>15342.530565825229</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tabSelected="1" workbookViewId="0">
      <selection activeCell="D3" sqref="D3"/>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1198.7189711132798</v>
      </c>
      <c r="C3" s="6">
        <v>5.3999999999999999E-2</v>
      </c>
      <c r="D3" s="2">
        <f>B3*$C3</f>
        <v>64.730824440117118</v>
      </c>
      <c r="E3" s="31">
        <v>100.09</v>
      </c>
    </row>
    <row r="4" spans="1:5" x14ac:dyDescent="0.3">
      <c r="A4" s="1" t="s">
        <v>5</v>
      </c>
      <c r="B4" s="6">
        <f>[1]RES_summary!$Q$157</f>
        <v>5391.1233545486957</v>
      </c>
      <c r="C4" s="6">
        <v>0.20200000000000001</v>
      </c>
      <c r="D4" s="29">
        <f>B4*$C4</f>
        <v>1089.0069176188365</v>
      </c>
      <c r="E4" s="31">
        <v>937</v>
      </c>
    </row>
    <row r="5" spans="1:5" x14ac:dyDescent="0.3">
      <c r="A5" s="1" t="s">
        <v>6</v>
      </c>
      <c r="B5" s="2">
        <f>B3+B4</f>
        <v>6589.8423256619753</v>
      </c>
      <c r="C5" s="3" t="s">
        <v>7</v>
      </c>
      <c r="D5" s="29">
        <f>D3+D4</f>
        <v>1153.7377420589537</v>
      </c>
      <c r="E5" s="31">
        <f>E3+E4</f>
        <v>1037.0899999999999</v>
      </c>
    </row>
    <row r="7" spans="1:5" x14ac:dyDescent="0.3">
      <c r="A7" t="s">
        <v>20</v>
      </c>
      <c r="B7" s="5">
        <v>66488186</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32180.208233998666</v>
      </c>
      <c r="C10" s="2">
        <f>B10*11630*1000/B7</f>
        <v>5628.9070927789271</v>
      </c>
      <c r="D10" s="6">
        <f>[2]Transport!$Q$56</f>
        <v>90108.875839461354</v>
      </c>
      <c r="E10" s="2">
        <f>D10*1000000/B7</f>
        <v>1355.26145711753</v>
      </c>
    </row>
    <row r="11" spans="1:5" x14ac:dyDescent="0.3">
      <c r="A11" s="39" t="s">
        <v>142</v>
      </c>
      <c r="B11" s="40">
        <f>B10*11630</f>
        <v>374255821.76140451</v>
      </c>
      <c r="C11" s="40" t="s">
        <v>143</v>
      </c>
      <c r="D11" s="40">
        <f>D10*1000</f>
        <v>90108875.839461356</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7" sqref="E7"/>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899.03922833495994</v>
      </c>
      <c r="C2" s="35">
        <f>E2*0.9</f>
        <v>1078.8470740019518</v>
      </c>
      <c r="D2" s="35">
        <f>0.95*E2</f>
        <v>1138.7830225576158</v>
      </c>
      <c r="E2" s="35">
        <f>'Cons and emi per capita'!B3</f>
        <v>1198.7189711132798</v>
      </c>
      <c r="F2" s="35">
        <f>1.05*E2</f>
        <v>1258.6549196689439</v>
      </c>
      <c r="G2" s="35">
        <f>1.25*E2</f>
        <v>1498.3987138915998</v>
      </c>
      <c r="H2" s="12" t="s">
        <v>28</v>
      </c>
    </row>
    <row r="3" spans="1:8" x14ac:dyDescent="0.3">
      <c r="A3" s="1" t="s">
        <v>5</v>
      </c>
      <c r="B3" s="35">
        <f t="shared" ref="B3:B4" si="0">0.75*E3</f>
        <v>4043.3425159115218</v>
      </c>
      <c r="C3" s="35">
        <f t="shared" ref="C3:C4" si="1">E3*0.9</f>
        <v>4852.0110190938267</v>
      </c>
      <c r="D3" s="35">
        <f t="shared" ref="D3:D9" si="2">0.95*E3</f>
        <v>5121.5671868212603</v>
      </c>
      <c r="E3" s="17">
        <f>'Cons and emi per capita'!B4</f>
        <v>5391.1233545486957</v>
      </c>
      <c r="F3" s="35">
        <f t="shared" ref="F3:F9" si="3">1.05*E3</f>
        <v>5660.6795222761311</v>
      </c>
      <c r="G3" s="35">
        <f t="shared" ref="G3:G4" si="4">1.25*E3</f>
        <v>6738.9041931858701</v>
      </c>
      <c r="H3" s="1" t="s">
        <v>28</v>
      </c>
    </row>
    <row r="4" spans="1:8" x14ac:dyDescent="0.3">
      <c r="A4" s="1" t="s">
        <v>18</v>
      </c>
      <c r="B4" s="35">
        <f t="shared" si="0"/>
        <v>4942.3817442464815</v>
      </c>
      <c r="C4" s="35">
        <f t="shared" si="1"/>
        <v>5930.8580930957778</v>
      </c>
      <c r="D4" s="35">
        <f t="shared" si="2"/>
        <v>6260.3502093788766</v>
      </c>
      <c r="E4" s="17">
        <f>E2+E3</f>
        <v>6589.8423256619753</v>
      </c>
      <c r="F4" s="35">
        <f t="shared" si="3"/>
        <v>6919.3344419450741</v>
      </c>
      <c r="G4" s="35">
        <f t="shared" si="4"/>
        <v>8237.3029070774683</v>
      </c>
      <c r="H4" s="1" t="s">
        <v>28</v>
      </c>
    </row>
    <row r="5" spans="1:8" x14ac:dyDescent="0.3">
      <c r="A5" s="1" t="s">
        <v>33</v>
      </c>
      <c r="B5" s="17">
        <f>0.84*E5</f>
        <v>4728.2819579342986</v>
      </c>
      <c r="C5" s="35">
        <f>E5*0.91</f>
        <v>5122.3054544288234</v>
      </c>
      <c r="D5" s="35">
        <f t="shared" si="2"/>
        <v>5347.4617381399803</v>
      </c>
      <c r="E5" s="17">
        <f>'Cons and emi per capita'!C10</f>
        <v>5628.9070927789271</v>
      </c>
      <c r="F5" s="35">
        <f t="shared" si="3"/>
        <v>5910.3524474178739</v>
      </c>
      <c r="G5" s="17">
        <f>1.16*E5</f>
        <v>6529.5322276235547</v>
      </c>
      <c r="H5" s="1" t="s">
        <v>28</v>
      </c>
    </row>
    <row r="6" spans="1:8" x14ac:dyDescent="0.3">
      <c r="A6" s="1" t="s">
        <v>29</v>
      </c>
      <c r="B6" s="17">
        <f>0.75*E6</f>
        <v>48.548118330087839</v>
      </c>
      <c r="C6" s="35">
        <f>E6*0.9</f>
        <v>58.257741996105409</v>
      </c>
      <c r="D6" s="35">
        <f t="shared" si="2"/>
        <v>61.494283218111256</v>
      </c>
      <c r="E6" s="17">
        <f>'Cons and emi per capita'!D3</f>
        <v>64.730824440117118</v>
      </c>
      <c r="F6" s="35">
        <f t="shared" si="3"/>
        <v>67.967365662122972</v>
      </c>
      <c r="G6" s="17">
        <f>1.25*E6</f>
        <v>80.91353055014639</v>
      </c>
      <c r="H6" s="1" t="s">
        <v>30</v>
      </c>
    </row>
    <row r="7" spans="1:8" x14ac:dyDescent="0.3">
      <c r="A7" s="1" t="s">
        <v>31</v>
      </c>
      <c r="B7" s="17">
        <f>0.75*E7</f>
        <v>816.75518821412743</v>
      </c>
      <c r="C7" s="35">
        <f t="shared" ref="C7:C8" si="5">E7*0.9</f>
        <v>980.10622585695285</v>
      </c>
      <c r="D7" s="35">
        <f t="shared" si="2"/>
        <v>1034.5565717378947</v>
      </c>
      <c r="E7" s="17">
        <f>'Cons and emi per capita'!D4</f>
        <v>1089.0069176188365</v>
      </c>
      <c r="F7" s="35">
        <f t="shared" si="3"/>
        <v>1143.4572634997783</v>
      </c>
      <c r="G7" s="17">
        <f t="shared" ref="G7:G8" si="6">1.25*E7</f>
        <v>1361.2586470235456</v>
      </c>
      <c r="H7" s="1" t="s">
        <v>30</v>
      </c>
    </row>
    <row r="8" spans="1:8" x14ac:dyDescent="0.3">
      <c r="A8" s="1" t="s">
        <v>32</v>
      </c>
      <c r="B8" s="17">
        <f t="shared" ref="B8" si="7">0.75*E8</f>
        <v>865.30330654421527</v>
      </c>
      <c r="C8" s="35">
        <f t="shared" si="5"/>
        <v>1038.3639678530583</v>
      </c>
      <c r="D8" s="35">
        <f t="shared" si="2"/>
        <v>1096.0508549560059</v>
      </c>
      <c r="E8" s="17">
        <f>E6+E7</f>
        <v>1153.7377420589537</v>
      </c>
      <c r="F8" s="35">
        <f t="shared" si="3"/>
        <v>1211.4246291619015</v>
      </c>
      <c r="G8" s="17">
        <f t="shared" si="6"/>
        <v>1442.1721775736921</v>
      </c>
      <c r="H8" s="1" t="s">
        <v>30</v>
      </c>
    </row>
    <row r="9" spans="1:8" x14ac:dyDescent="0.3">
      <c r="A9" s="1" t="s">
        <v>34</v>
      </c>
      <c r="B9" s="17">
        <f>0.84*E9</f>
        <v>1138.4196239787252</v>
      </c>
      <c r="C9" s="35">
        <f>E9*0.91</f>
        <v>1233.2879259769522</v>
      </c>
      <c r="D9" s="35">
        <f t="shared" si="2"/>
        <v>1287.4983842616534</v>
      </c>
      <c r="E9" s="17">
        <f>'Cons and emi per capita'!E10</f>
        <v>1355.26145711753</v>
      </c>
      <c r="F9" s="35">
        <f t="shared" si="3"/>
        <v>1423.0245299734065</v>
      </c>
      <c r="G9" s="17">
        <f>1.16*E9</f>
        <v>1572.1032902563347</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9670.6637021807801</v>
      </c>
      <c r="C13" s="37">
        <f t="shared" ref="C13:G13" si="8">SUM(C4:C5)</f>
        <v>11053.1635475246</v>
      </c>
      <c r="D13" s="37">
        <f t="shared" si="8"/>
        <v>11607.811947518858</v>
      </c>
      <c r="E13" s="37">
        <f t="shared" si="8"/>
        <v>12218.749418440902</v>
      </c>
      <c r="F13" s="37">
        <f t="shared" si="8"/>
        <v>12829.686889362947</v>
      </c>
      <c r="G13" s="37">
        <f t="shared" si="8"/>
        <v>14766.835134701023</v>
      </c>
    </row>
    <row r="14" spans="1:8" x14ac:dyDescent="0.3">
      <c r="B14" s="37">
        <f>SUM(B8:B9)</f>
        <v>2003.7229305229405</v>
      </c>
      <c r="C14" s="37">
        <f t="shared" ref="C14:G14" si="9">SUM(C8:C9)</f>
        <v>2271.6518938300105</v>
      </c>
      <c r="D14" s="37">
        <f t="shared" si="9"/>
        <v>2383.5492392176593</v>
      </c>
      <c r="E14" s="37">
        <f t="shared" si="9"/>
        <v>2508.9991991764837</v>
      </c>
      <c r="F14" s="37">
        <f t="shared" si="9"/>
        <v>2634.449159135308</v>
      </c>
      <c r="G14" s="37">
        <f t="shared" si="9"/>
        <v>3014.2754678300271</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5" zoomScale="90" zoomScaleNormal="90" workbookViewId="0">
      <selection activeCell="A35" sqref="A35:E35"/>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3" t="s">
        <v>37</v>
      </c>
      <c r="B1" s="63"/>
      <c r="C1" s="63"/>
      <c r="D1" s="63"/>
      <c r="E1" s="63"/>
      <c r="G1" s="63" t="s">
        <v>75</v>
      </c>
      <c r="H1" s="63"/>
      <c r="I1" s="63"/>
      <c r="J1" s="63"/>
      <c r="K1" s="16"/>
    </row>
    <row r="2" spans="1:11" ht="28.2" customHeight="1" x14ac:dyDescent="0.3">
      <c r="A2" s="57" t="s">
        <v>64</v>
      </c>
      <c r="B2" s="57"/>
      <c r="C2" s="57"/>
      <c r="D2" s="57"/>
      <c r="E2" s="57"/>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58" t="s">
        <v>38</v>
      </c>
      <c r="B4" s="58"/>
      <c r="C4" s="58"/>
      <c r="D4" s="58"/>
      <c r="E4" s="58"/>
      <c r="G4" s="1" t="s">
        <v>81</v>
      </c>
      <c r="H4" s="1">
        <v>15.9</v>
      </c>
      <c r="I4" s="1">
        <v>50</v>
      </c>
      <c r="J4" s="1">
        <v>84.1</v>
      </c>
      <c r="K4" t="s">
        <v>78</v>
      </c>
    </row>
    <row r="5" spans="1:11" x14ac:dyDescent="0.3">
      <c r="A5" s="59" t="s">
        <v>39</v>
      </c>
      <c r="B5" s="59"/>
      <c r="C5" s="59"/>
      <c r="D5" s="59"/>
      <c r="E5" s="59"/>
      <c r="G5" s="1" t="s">
        <v>82</v>
      </c>
      <c r="H5" s="17">
        <f>H$4*I5/I$4</f>
        <v>6.0806216666746602</v>
      </c>
      <c r="I5" s="17">
        <f>B6</f>
        <v>19.121451781995788</v>
      </c>
      <c r="J5" s="17">
        <f>J$4*I5/I$4</f>
        <v>32.162281897316909</v>
      </c>
    </row>
    <row r="6" spans="1:11" x14ac:dyDescent="0.3">
      <c r="A6" s="1" t="s">
        <v>40</v>
      </c>
      <c r="B6" s="6">
        <f>[2]TrRoad_act!$Q$150</f>
        <v>19.121451781995788</v>
      </c>
      <c r="C6" s="1" t="s">
        <v>59</v>
      </c>
      <c r="D6" s="3" t="s">
        <v>7</v>
      </c>
      <c r="E6" s="1"/>
      <c r="G6" s="1" t="s">
        <v>83</v>
      </c>
      <c r="H6" s="17">
        <f t="shared" ref="H6:H8" si="0">H$4*I6/I$4</f>
        <v>24.393023010116146</v>
      </c>
      <c r="I6" s="17">
        <f>B20</f>
        <v>76.707619528667124</v>
      </c>
      <c r="J6" s="17">
        <f t="shared" ref="J6:J8" si="1">J$4*I6/I$4</f>
        <v>129.02221604721811</v>
      </c>
    </row>
    <row r="7" spans="1:11" x14ac:dyDescent="0.3">
      <c r="A7" s="59" t="s">
        <v>61</v>
      </c>
      <c r="B7" s="59"/>
      <c r="C7" s="59"/>
      <c r="D7" s="59"/>
      <c r="E7" s="59"/>
      <c r="G7" s="1" t="s">
        <v>84</v>
      </c>
      <c r="H7" s="17">
        <f t="shared" si="0"/>
        <v>101.76</v>
      </c>
      <c r="I7" s="17">
        <f>B21</f>
        <v>320</v>
      </c>
      <c r="J7" s="17">
        <f t="shared" si="1"/>
        <v>538.24</v>
      </c>
    </row>
    <row r="8" spans="1:11" x14ac:dyDescent="0.3">
      <c r="A8" s="1" t="s">
        <v>42</v>
      </c>
      <c r="B8" s="6">
        <f>[2]TrRoad_ene!$Q$62</f>
        <v>3.4587491867617266</v>
      </c>
      <c r="C8" s="57" t="s">
        <v>60</v>
      </c>
      <c r="D8" s="27">
        <f>B8*11.63/100</f>
        <v>0.40225253042038889</v>
      </c>
      <c r="E8" s="57" t="s">
        <v>41</v>
      </c>
      <c r="G8" s="1" t="s">
        <v>85</v>
      </c>
      <c r="H8" s="17">
        <f t="shared" si="0"/>
        <v>178.08</v>
      </c>
      <c r="I8" s="17">
        <f>B22</f>
        <v>560</v>
      </c>
      <c r="J8" s="17">
        <f t="shared" si="1"/>
        <v>941.92</v>
      </c>
    </row>
    <row r="9" spans="1:11" x14ac:dyDescent="0.3">
      <c r="A9" s="1" t="s">
        <v>43</v>
      </c>
      <c r="B9" s="3" t="s">
        <v>7</v>
      </c>
      <c r="C9" s="57"/>
      <c r="D9" s="3" t="s">
        <v>7</v>
      </c>
      <c r="E9" s="57"/>
    </row>
    <row r="10" spans="1:11" x14ac:dyDescent="0.3">
      <c r="A10" s="1" t="s">
        <v>44</v>
      </c>
      <c r="B10" s="6">
        <f>AVERAGE([2]TrRoad_ene!$Q$64:$Q$65)</f>
        <v>5.4544785483304281</v>
      </c>
      <c r="C10" s="57"/>
      <c r="D10" s="27">
        <f t="shared" ref="D10:D13" si="2">B10*11.63/100</f>
        <v>0.63435585517082882</v>
      </c>
      <c r="E10" s="57"/>
    </row>
    <row r="11" spans="1:11" x14ac:dyDescent="0.3">
      <c r="A11" s="1" t="s">
        <v>45</v>
      </c>
      <c r="B11" s="6">
        <f>[2]TrRoad_ene!$Q$68</f>
        <v>3.2938512045902848</v>
      </c>
      <c r="C11" s="57"/>
      <c r="D11" s="27">
        <f t="shared" si="2"/>
        <v>0.38307489509385012</v>
      </c>
      <c r="E11" s="57"/>
    </row>
    <row r="12" spans="1:11" x14ac:dyDescent="0.3">
      <c r="A12" s="1" t="s">
        <v>46</v>
      </c>
      <c r="B12" s="6">
        <f>[2]TrRoad_ene!$Q$69</f>
        <v>2.7854456564332097</v>
      </c>
      <c r="C12" s="57"/>
      <c r="D12" s="27">
        <f t="shared" si="2"/>
        <v>0.32394732984318231</v>
      </c>
      <c r="E12" s="57"/>
    </row>
    <row r="13" spans="1:11" x14ac:dyDescent="0.3">
      <c r="A13" s="1" t="s">
        <v>40</v>
      </c>
      <c r="B13" s="6">
        <f>[2]TrRoad_ene!$Q$70</f>
        <v>52.124058921059181</v>
      </c>
      <c r="C13" s="57"/>
      <c r="D13" s="27">
        <f t="shared" si="2"/>
        <v>6.0620280525191834</v>
      </c>
      <c r="E13" s="57"/>
    </row>
    <row r="14" spans="1:11" x14ac:dyDescent="0.3">
      <c r="A14" s="59" t="s">
        <v>63</v>
      </c>
      <c r="B14" s="59"/>
      <c r="C14" s="59"/>
      <c r="D14" s="59"/>
      <c r="E14" s="59"/>
    </row>
    <row r="15" spans="1:11" x14ac:dyDescent="0.3">
      <c r="A15" s="38" t="s">
        <v>145</v>
      </c>
      <c r="B15" s="6">
        <f>[2]TrRail_emi!$Q$23</f>
        <v>3.1024188000000001</v>
      </c>
      <c r="C15" s="1" t="s">
        <v>62</v>
      </c>
      <c r="D15" s="28">
        <f>B15*1000/11630</f>
        <v>0.26676</v>
      </c>
      <c r="E15" s="1" t="s">
        <v>47</v>
      </c>
    </row>
    <row r="16" spans="1:11" x14ac:dyDescent="0.3">
      <c r="A16" s="1" t="s">
        <v>48</v>
      </c>
      <c r="B16" s="6">
        <f>AVERAGE([2]TrRoad_emi!$Q$48:$Q$49)</f>
        <v>2.8012451781344905</v>
      </c>
      <c r="C16" s="1" t="s">
        <v>62</v>
      </c>
      <c r="D16" s="28">
        <f>B16*1000/11630</f>
        <v>0.24086372984819349</v>
      </c>
      <c r="E16" s="1" t="s">
        <v>47</v>
      </c>
    </row>
    <row r="17" spans="1:5" x14ac:dyDescent="0.3">
      <c r="A17" s="1" t="s">
        <v>65</v>
      </c>
      <c r="B17" s="6">
        <v>5.5E-2</v>
      </c>
      <c r="C17" s="1" t="s">
        <v>47</v>
      </c>
      <c r="D17" s="2">
        <f>B17</f>
        <v>5.5E-2</v>
      </c>
      <c r="E17" s="1" t="s">
        <v>47</v>
      </c>
    </row>
    <row r="18" spans="1:5" x14ac:dyDescent="0.3">
      <c r="A18" s="64" t="s">
        <v>49</v>
      </c>
      <c r="B18" s="65"/>
      <c r="C18" s="65"/>
      <c r="D18" s="65"/>
      <c r="E18" s="66"/>
    </row>
    <row r="19" spans="1:5" x14ac:dyDescent="0.3">
      <c r="A19" s="67" t="s">
        <v>39</v>
      </c>
      <c r="B19" s="68"/>
      <c r="C19" s="68"/>
      <c r="D19" s="68"/>
      <c r="E19" s="69"/>
    </row>
    <row r="20" spans="1:5" x14ac:dyDescent="0.3">
      <c r="A20" s="1" t="s">
        <v>50</v>
      </c>
      <c r="B20" s="6">
        <f>[2]TrRail_act!$Q$62</f>
        <v>76.707619528667124</v>
      </c>
      <c r="C20" s="70" t="s">
        <v>59</v>
      </c>
      <c r="D20" s="3" t="s">
        <v>7</v>
      </c>
      <c r="E20" s="1"/>
    </row>
    <row r="21" spans="1:5" x14ac:dyDescent="0.3">
      <c r="A21" s="1" t="s">
        <v>51</v>
      </c>
      <c r="B21" s="6">
        <f>[2]TrRail_act!$Q$74</f>
        <v>320</v>
      </c>
      <c r="C21" s="71"/>
      <c r="D21" s="3" t="s">
        <v>7</v>
      </c>
      <c r="E21" s="1"/>
    </row>
    <row r="22" spans="1:5" x14ac:dyDescent="0.3">
      <c r="A22" s="1" t="s">
        <v>52</v>
      </c>
      <c r="B22" s="6">
        <f>[2]TrRail_act!$Q$77</f>
        <v>560</v>
      </c>
      <c r="C22" s="72"/>
      <c r="D22" s="3" t="s">
        <v>7</v>
      </c>
      <c r="E22" s="1"/>
    </row>
    <row r="23" spans="1:5" x14ac:dyDescent="0.3">
      <c r="A23" s="67" t="s">
        <v>53</v>
      </c>
      <c r="B23" s="68"/>
      <c r="C23" s="68"/>
      <c r="D23" s="68"/>
      <c r="E23" s="69"/>
    </row>
    <row r="24" spans="1:5" x14ac:dyDescent="0.3">
      <c r="A24" s="1" t="s">
        <v>50</v>
      </c>
      <c r="B24" s="6">
        <f>[2]TrRail_ene!$Q$31</f>
        <v>47.996426340577315</v>
      </c>
      <c r="C24" s="73" t="s">
        <v>60</v>
      </c>
      <c r="D24" s="2">
        <f>B24*11.63/100</f>
        <v>5.581984383409142</v>
      </c>
      <c r="E24" s="73" t="s">
        <v>41</v>
      </c>
    </row>
    <row r="25" spans="1:5" x14ac:dyDescent="0.3">
      <c r="A25" s="1" t="s">
        <v>144</v>
      </c>
      <c r="B25" s="6">
        <f>[2]TrRail_ene!$Q$33</f>
        <v>214.32493096857209</v>
      </c>
      <c r="C25" s="74"/>
      <c r="D25" s="27">
        <f t="shared" ref="D25:D27" si="3">B25*11.63/100</f>
        <v>24.925989471644936</v>
      </c>
      <c r="E25" s="74"/>
    </row>
    <row r="26" spans="1:5" x14ac:dyDescent="0.3">
      <c r="A26" s="1" t="s">
        <v>51</v>
      </c>
      <c r="B26" s="6">
        <f>[2]TrRail_ene!$Q$34</f>
        <v>154.3857629970779</v>
      </c>
      <c r="C26" s="74"/>
      <c r="D26" s="27">
        <f t="shared" si="3"/>
        <v>17.955064236560162</v>
      </c>
      <c r="E26" s="74"/>
    </row>
    <row r="27" spans="1:5" x14ac:dyDescent="0.3">
      <c r="A27" s="1" t="s">
        <v>52</v>
      </c>
      <c r="B27" s="6">
        <f>[2]TrRail_ene!$Q$35</f>
        <v>238.79860023515224</v>
      </c>
      <c r="C27" s="75"/>
      <c r="D27" s="2">
        <f t="shared" si="3"/>
        <v>27.772277207348207</v>
      </c>
      <c r="E27" s="75"/>
    </row>
    <row r="28" spans="1:5" x14ac:dyDescent="0.3">
      <c r="A28" s="67" t="s">
        <v>63</v>
      </c>
      <c r="B28" s="68"/>
      <c r="C28" s="68"/>
      <c r="D28" s="68"/>
      <c r="E28" s="69"/>
    </row>
    <row r="29" spans="1:5" x14ac:dyDescent="0.3">
      <c r="A29" s="1" t="s">
        <v>65</v>
      </c>
      <c r="B29" s="26">
        <f>B17</f>
        <v>5.5E-2</v>
      </c>
      <c r="C29" s="1" t="s">
        <v>47</v>
      </c>
      <c r="D29" s="2">
        <f>B29</f>
        <v>5.5E-2</v>
      </c>
      <c r="E29" s="1" t="s">
        <v>47</v>
      </c>
    </row>
    <row r="30" spans="1:5" x14ac:dyDescent="0.3">
      <c r="A30" s="64" t="s">
        <v>54</v>
      </c>
      <c r="B30" s="65"/>
      <c r="C30" s="65"/>
      <c r="D30" s="65"/>
      <c r="E30" s="66"/>
    </row>
    <row r="31" spans="1:5" x14ac:dyDescent="0.3">
      <c r="A31" s="1" t="s">
        <v>68</v>
      </c>
      <c r="B31" s="6">
        <f>[2]TrAvia_act!$Q$69</f>
        <v>122.70458532182656</v>
      </c>
      <c r="C31" s="1" t="s">
        <v>67</v>
      </c>
      <c r="D31" s="3" t="s">
        <v>7</v>
      </c>
      <c r="E31" s="1"/>
    </row>
    <row r="32" spans="1:5" x14ac:dyDescent="0.3">
      <c r="A32" s="1" t="s">
        <v>72</v>
      </c>
      <c r="B32" s="6">
        <f>[2]TrAvia_ene!$Q$37</f>
        <v>5097.0584022320636</v>
      </c>
      <c r="C32" s="1" t="s">
        <v>69</v>
      </c>
      <c r="D32" s="28">
        <f>B32*11.63*10^(-3)/B31</f>
        <v>0.48310166292876472</v>
      </c>
      <c r="E32" s="1" t="s">
        <v>55</v>
      </c>
    </row>
    <row r="33" spans="1:5" x14ac:dyDescent="0.3">
      <c r="A33" s="1" t="s">
        <v>71</v>
      </c>
      <c r="B33" s="6">
        <f>[2]TrAvia_emi!$Q$41</f>
        <v>15342.530565825229</v>
      </c>
      <c r="C33" s="1" t="s">
        <v>70</v>
      </c>
      <c r="D33" s="28">
        <f>B33/B31</f>
        <v>125.03632627570697</v>
      </c>
      <c r="E33" s="1" t="s">
        <v>56</v>
      </c>
    </row>
    <row r="35" spans="1:5" x14ac:dyDescent="0.3">
      <c r="A35" s="60" t="s">
        <v>73</v>
      </c>
      <c r="B35" s="61"/>
      <c r="C35" s="61"/>
      <c r="D35" s="61"/>
      <c r="E35" s="62"/>
    </row>
    <row r="36" spans="1:5" x14ac:dyDescent="0.3">
      <c r="A36" s="44" t="s">
        <v>74</v>
      </c>
      <c r="B36" s="45"/>
      <c r="C36" s="45"/>
      <c r="D36" s="45"/>
      <c r="E36" s="46"/>
    </row>
  </sheetData>
  <mergeCells count="20">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 ref="A14:E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5.5E-2</v>
      </c>
    </row>
    <row r="4" spans="1:8" x14ac:dyDescent="0.3">
      <c r="A4" t="s">
        <v>87</v>
      </c>
      <c r="B4">
        <f>'Passenger transport data'!D13</f>
        <v>6.0620280525191834</v>
      </c>
      <c r="C4">
        <f>Tabla4[[#This Row],[ENERGY CONSUMPTION PER VEHICLE]]*H7</f>
        <v>1.3450656094183577</v>
      </c>
      <c r="G4" t="s">
        <v>165</v>
      </c>
      <c r="H4">
        <f>BUS!C16</f>
        <v>0.24763542562338778</v>
      </c>
    </row>
    <row r="5" spans="1:8" x14ac:dyDescent="0.3">
      <c r="A5" t="s">
        <v>179</v>
      </c>
      <c r="B5">
        <f>B4</f>
        <v>6.0620280525191834</v>
      </c>
      <c r="C5">
        <f>Tabla4[[#This Row],[ENERGY CONSUMPTION PER VEHICLE]]*H3</f>
        <v>0.33341154288855507</v>
      </c>
      <c r="G5" t="s">
        <v>180</v>
      </c>
      <c r="H5">
        <f>'Passenger transport data'!D15</f>
        <v>0.26676</v>
      </c>
    </row>
    <row r="6" spans="1:8" x14ac:dyDescent="0.3">
      <c r="A6" t="s">
        <v>181</v>
      </c>
      <c r="B6">
        <f>B4</f>
        <v>6.0620280525191834</v>
      </c>
      <c r="C6">
        <f>Tabla4[[#This Row],[ENERGY CONSUMPTION PER VEHICLE]]*H4</f>
        <v>1.5011728969265046</v>
      </c>
      <c r="G6" t="s">
        <v>182</v>
      </c>
      <c r="H6">
        <f>BUS!E5</f>
        <v>0.22800000000000001</v>
      </c>
    </row>
    <row r="7" spans="1:8" x14ac:dyDescent="0.3">
      <c r="A7" t="s">
        <v>191</v>
      </c>
      <c r="B7">
        <f>B4</f>
        <v>6.0620280525191834</v>
      </c>
      <c r="C7">
        <f>Tabla4[[#This Row],[ENERGY CONSUMPTION PER VEHICLE]]*H8</f>
        <v>0.91729221990752985</v>
      </c>
      <c r="G7" t="s">
        <v>184</v>
      </c>
      <c r="H7">
        <f>BUS!E2</f>
        <v>0.22188376526225276</v>
      </c>
    </row>
    <row r="8" spans="1:8" x14ac:dyDescent="0.3">
      <c r="A8" t="s">
        <v>183</v>
      </c>
      <c r="B8">
        <f>B4</f>
        <v>6.0620280525191834</v>
      </c>
      <c r="C8">
        <f>Tabla4[[#This Row],[ENERGY CONSUMPTION PER VEHICLE]]*H6</f>
        <v>1.3821423959743739</v>
      </c>
      <c r="G8" t="s">
        <v>192</v>
      </c>
      <c r="H8">
        <f>0.5*H3+0.5*H4</f>
        <v>0.1513177128116939</v>
      </c>
    </row>
    <row r="9" spans="1:8" x14ac:dyDescent="0.3">
      <c r="A9" t="s">
        <v>185</v>
      </c>
      <c r="B9">
        <f>'Passenger transport data'!D26</f>
        <v>17.955064236560162</v>
      </c>
      <c r="C9">
        <f>Tabla4[[#This Row],[ENERGY CONSUMPTION PER VEHICLE]]*H3</f>
        <v>0.9875285330108089</v>
      </c>
    </row>
    <row r="10" spans="1:8" x14ac:dyDescent="0.3">
      <c r="A10" t="s">
        <v>146</v>
      </c>
      <c r="B10">
        <f>'Passenger transport data'!D25</f>
        <v>24.925989471644936</v>
      </c>
      <c r="C10">
        <f>Tabla4[[#This Row],[ENERGY CONSUMPTION PER VEHICLE]]*H5</f>
        <v>6.6492569514560032</v>
      </c>
    </row>
    <row r="11" spans="1:8" x14ac:dyDescent="0.3">
      <c r="A11" t="s">
        <v>103</v>
      </c>
      <c r="B11">
        <f>'Passenger transport data'!D27</f>
        <v>27.772277207348207</v>
      </c>
      <c r="C11">
        <f>Tabla4[[#This Row],[ENERGY CONSUMPTION PER VEHICLE]]*H3</f>
        <v>1.5274752464041514</v>
      </c>
    </row>
    <row r="12" spans="1:8" x14ac:dyDescent="0.3">
      <c r="A12" t="s">
        <v>186</v>
      </c>
      <c r="B12">
        <f>'Passenger transport data'!D24</f>
        <v>5.581984383409142</v>
      </c>
      <c r="C12">
        <f>Tabla4[[#This Row],[ENERGY CONSUMPTION PER VEHICLE]]*H3</f>
        <v>0.30700914108750282</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6.0806216666746602</v>
      </c>
      <c r="B17">
        <f>B4/Tabla5[[#This Row],[LEVEL OF OCCUPANCY]]</f>
        <v>0.9969421524352714</v>
      </c>
      <c r="C17">
        <f>C4/Tabla5[[#This Row],[LEVEL OF OCCUPANCY]]</f>
        <v>0.22120527853099278</v>
      </c>
    </row>
    <row r="18" spans="1:3" x14ac:dyDescent="0.3">
      <c r="A18" s="37">
        <f>'Passenger transport data'!I5</f>
        <v>19.121451781995788</v>
      </c>
      <c r="B18">
        <f>B4/Tabla5[[#This Row],[LEVEL OF OCCUPANCY]]</f>
        <v>0.3170276044744163</v>
      </c>
      <c r="C18">
        <f>C4/Tabla5[[#This Row],[LEVEL OF OCCUPANCY]]</f>
        <v>7.0343278572855703E-2</v>
      </c>
    </row>
    <row r="19" spans="1:3" x14ac:dyDescent="0.3">
      <c r="A19" s="37">
        <f>'Passenger transport data'!J5</f>
        <v>32.162281897316909</v>
      </c>
      <c r="B19">
        <f>B4/Tabla5[[#This Row],[LEVEL OF OCCUPANCY]]</f>
        <v>0.18848252346873742</v>
      </c>
      <c r="C19">
        <f>C4/Tabla5[[#This Row],[LEVEL OF OCCUPANCY]]</f>
        <v>4.1821211993374387E-2</v>
      </c>
    </row>
    <row r="20" spans="1:3" x14ac:dyDescent="0.3">
      <c r="A20" t="s">
        <v>179</v>
      </c>
    </row>
    <row r="21" spans="1:3" x14ac:dyDescent="0.3">
      <c r="A21" s="37">
        <f>A17</f>
        <v>6.0806216666746602</v>
      </c>
      <c r="B21">
        <f>B5/Tabla5[[#This Row],[LEVEL OF OCCUPANCY]]</f>
        <v>0.9969421524352714</v>
      </c>
      <c r="C21">
        <f>C5/Tabla5[[#This Row],[LEVEL OF OCCUPANCY]]</f>
        <v>5.4831818383939926E-2</v>
      </c>
    </row>
    <row r="22" spans="1:3" x14ac:dyDescent="0.3">
      <c r="A22" s="37">
        <f>A18</f>
        <v>19.121451781995788</v>
      </c>
      <c r="B22">
        <f>B5/Tabla5[[#This Row],[LEVEL OF OCCUPANCY]]</f>
        <v>0.3170276044744163</v>
      </c>
      <c r="C22">
        <f>C5/Tabla5[[#This Row],[LEVEL OF OCCUPANCY]]</f>
        <v>1.7436518246092894E-2</v>
      </c>
    </row>
    <row r="23" spans="1:3" x14ac:dyDescent="0.3">
      <c r="A23" s="37">
        <f>A19</f>
        <v>32.162281897316909</v>
      </c>
      <c r="B23">
        <f>B5/Tabla5[[#This Row],[LEVEL OF OCCUPANCY]]</f>
        <v>0.18848252346873742</v>
      </c>
      <c r="C23">
        <f>C5/Tabla5[[#This Row],[LEVEL OF OCCUPANCY]]</f>
        <v>1.0366538790780559E-2</v>
      </c>
    </row>
    <row r="24" spans="1:3" x14ac:dyDescent="0.3">
      <c r="A24" t="s">
        <v>181</v>
      </c>
    </row>
    <row r="25" spans="1:3" x14ac:dyDescent="0.3">
      <c r="A25" s="37">
        <f>A17</f>
        <v>6.0806216666746602</v>
      </c>
      <c r="B25">
        <f>B6/Tabla5[[#This Row],[LEVEL OF OCCUPANCY]]</f>
        <v>0.9969421524352714</v>
      </c>
      <c r="C25">
        <f>C6/Tabla5[[#This Row],[LEVEL OF OCCUPANCY]]</f>
        <v>0.2468781942402048</v>
      </c>
    </row>
    <row r="26" spans="1:3" x14ac:dyDescent="0.3">
      <c r="A26" s="37">
        <f>A18</f>
        <v>19.121451781995788</v>
      </c>
      <c r="B26">
        <f>B6/Tabla5[[#This Row],[LEVEL OF OCCUPANCY]]</f>
        <v>0.3170276044744163</v>
      </c>
      <c r="C26">
        <f>C6/Tabla5[[#This Row],[LEVEL OF OCCUPANCY]]</f>
        <v>7.8507265768385126E-2</v>
      </c>
    </row>
    <row r="27" spans="1:3" x14ac:dyDescent="0.3">
      <c r="A27" s="37">
        <f>A19</f>
        <v>32.162281897316909</v>
      </c>
      <c r="B27">
        <f>B6/Tabla5[[#This Row],[LEVEL OF OCCUPANCY]]</f>
        <v>0.18848252346873742</v>
      </c>
      <c r="C27">
        <f>C6/Tabla5[[#This Row],[LEVEL OF OCCUPANCY]]</f>
        <v>4.6674949921750974E-2</v>
      </c>
    </row>
    <row r="28" spans="1:3" x14ac:dyDescent="0.3">
      <c r="A28" s="37" t="s">
        <v>183</v>
      </c>
    </row>
    <row r="29" spans="1:3" x14ac:dyDescent="0.3">
      <c r="A29" s="37">
        <f>A17</f>
        <v>6.0806216666746602</v>
      </c>
      <c r="B29">
        <f>B8/Tabla5[[#This Row],[LEVEL OF OCCUPANCY]]</f>
        <v>0.9969421524352714</v>
      </c>
      <c r="C29">
        <f>C8/Tabla5[[#This Row],[LEVEL OF OCCUPANCY]]</f>
        <v>0.22730281075524192</v>
      </c>
    </row>
    <row r="30" spans="1:3" x14ac:dyDescent="0.3">
      <c r="A30" s="37">
        <f>A18</f>
        <v>19.121451781995788</v>
      </c>
      <c r="B30">
        <f>B8/Tabla5[[#This Row],[LEVEL OF OCCUPANCY]]</f>
        <v>0.3170276044744163</v>
      </c>
      <c r="C30">
        <f>C8/Tabla5[[#This Row],[LEVEL OF OCCUPANCY]]</f>
        <v>7.2282293820166918E-2</v>
      </c>
    </row>
    <row r="31" spans="1:3" x14ac:dyDescent="0.3">
      <c r="A31" s="37">
        <f>A19</f>
        <v>32.162281897316909</v>
      </c>
      <c r="B31">
        <f>B8/Tabla5[[#This Row],[LEVEL OF OCCUPANCY]]</f>
        <v>0.18848252346873742</v>
      </c>
      <c r="C31">
        <f>C8/Tabla5[[#This Row],[LEVEL OF OCCUPANCY]]</f>
        <v>4.2974015350872141E-2</v>
      </c>
    </row>
    <row r="32" spans="1:3" x14ac:dyDescent="0.3">
      <c r="A32" s="37" t="s">
        <v>191</v>
      </c>
    </row>
    <row r="33" spans="1:3" x14ac:dyDescent="0.3">
      <c r="A33" s="37">
        <f>A17</f>
        <v>6.0806216666746602</v>
      </c>
      <c r="B33">
        <f>B7/Tabla5[[#This Row],[LEVEL OF OCCUPANCY]]</f>
        <v>0.9969421524352714</v>
      </c>
      <c r="C33">
        <f>C7/Tabla5[[#This Row],[LEVEL OF OCCUPANCY]]</f>
        <v>0.15085500631207235</v>
      </c>
    </row>
    <row r="34" spans="1:3" x14ac:dyDescent="0.3">
      <c r="A34" s="37">
        <f>A18</f>
        <v>19.121451781995788</v>
      </c>
      <c r="B34">
        <f>B7/Tabla5[[#This Row],[LEVEL OF OCCUPANCY]]</f>
        <v>0.3170276044744163</v>
      </c>
      <c r="C34">
        <f>C7/Tabla5[[#This Row],[LEVEL OF OCCUPANCY]]</f>
        <v>4.797189200723901E-2</v>
      </c>
    </row>
    <row r="35" spans="1:3" x14ac:dyDescent="0.3">
      <c r="A35" s="37">
        <f>A19</f>
        <v>32.162281897316909</v>
      </c>
      <c r="B35">
        <f>B7/Tabla5[[#This Row],[LEVEL OF OCCUPANCY]]</f>
        <v>0.18848252346873742</v>
      </c>
      <c r="C35">
        <f>C7/Tabla5[[#This Row],[LEVEL OF OCCUPANCY]]</f>
        <v>2.8520744356265768E-2</v>
      </c>
    </row>
    <row r="36" spans="1:3" x14ac:dyDescent="0.3">
      <c r="A36" t="s">
        <v>185</v>
      </c>
    </row>
    <row r="37" spans="1:3" x14ac:dyDescent="0.3">
      <c r="A37" s="37">
        <f>'Passenger transport data'!H7</f>
        <v>101.76</v>
      </c>
      <c r="B37">
        <f>B9/Tabla5[[#This Row],[LEVEL OF OCCUPANCY]]</f>
        <v>0.17644520672720285</v>
      </c>
      <c r="C37">
        <f>C9/Tabla5[[#This Row],[LEVEL OF OCCUPANCY]]</f>
        <v>9.7044863699961553E-3</v>
      </c>
    </row>
    <row r="38" spans="1:3" x14ac:dyDescent="0.3">
      <c r="A38" s="37">
        <f>'Passenger transport data'!I7</f>
        <v>320</v>
      </c>
      <c r="B38">
        <f>B9/Tabla5[[#This Row],[LEVEL OF OCCUPANCY]]</f>
        <v>5.6109575739250503E-2</v>
      </c>
      <c r="C38">
        <f>C9/Tabla5[[#This Row],[LEVEL OF OCCUPANCY]]</f>
        <v>3.0860266656587776E-3</v>
      </c>
    </row>
    <row r="39" spans="1:3" x14ac:dyDescent="0.3">
      <c r="A39" s="37">
        <f>'Passenger transport data'!J7</f>
        <v>538.24</v>
      </c>
      <c r="B39">
        <f>B9/Tabla5[[#This Row],[LEVEL OF OCCUPANCY]]</f>
        <v>3.3358844078032406E-2</v>
      </c>
      <c r="C39">
        <f>C9/Tabla5[[#This Row],[LEVEL OF OCCUPANCY]]</f>
        <v>1.8347364242917823E-3</v>
      </c>
    </row>
    <row r="40" spans="1:3" x14ac:dyDescent="0.3">
      <c r="A40" t="s">
        <v>146</v>
      </c>
    </row>
    <row r="41" spans="1:3" x14ac:dyDescent="0.3">
      <c r="A41" s="37">
        <f>A37</f>
        <v>101.76</v>
      </c>
      <c r="B41">
        <f>B10/Tabla5[[#This Row],[LEVEL OF OCCUPANCY]]</f>
        <v>0.24494879590846044</v>
      </c>
      <c r="C41">
        <f>C10/Tabla5[[#This Row],[LEVEL OF OCCUPANCY]]</f>
        <v>6.5342540796540907E-2</v>
      </c>
    </row>
    <row r="42" spans="1:3" x14ac:dyDescent="0.3">
      <c r="A42" s="37">
        <f>A38</f>
        <v>320</v>
      </c>
      <c r="B42">
        <f>B10/Tabla5[[#This Row],[LEVEL OF OCCUPANCY]]</f>
        <v>7.7893717098890425E-2</v>
      </c>
      <c r="C42">
        <f>C10/Tabla5[[#This Row],[LEVEL OF OCCUPANCY]]</f>
        <v>2.0778927973300009E-2</v>
      </c>
    </row>
    <row r="43" spans="1:3" x14ac:dyDescent="0.3">
      <c r="A43" s="37">
        <f>A39</f>
        <v>538.24</v>
      </c>
      <c r="B43">
        <f>B10/Tabla5[[#This Row],[LEVEL OF OCCUPANCY]]</f>
        <v>4.6310176634298705E-2</v>
      </c>
      <c r="C43">
        <f>C10/Tabla5[[#This Row],[LEVEL OF OCCUPANCY]]</f>
        <v>1.2353702718965524E-2</v>
      </c>
    </row>
    <row r="44" spans="1:3" x14ac:dyDescent="0.3">
      <c r="A44" s="37" t="s">
        <v>103</v>
      </c>
    </row>
    <row r="45" spans="1:3" x14ac:dyDescent="0.3">
      <c r="A45" s="37">
        <f>'Passenger transport data'!H8</f>
        <v>178.08</v>
      </c>
      <c r="B45">
        <f>B11/Tabla5[[#This Row],[LEVEL OF OCCUPANCY]]</f>
        <v>0.15595393759741805</v>
      </c>
      <c r="C45">
        <f>C11/Tabla5[[#This Row],[LEVEL OF OCCUPANCY]]</f>
        <v>8.5774665678579921E-3</v>
      </c>
    </row>
    <row r="46" spans="1:3" x14ac:dyDescent="0.3">
      <c r="A46" s="37">
        <f>'Passenger transport data'!I8</f>
        <v>560</v>
      </c>
      <c r="B46">
        <f>B11/Tabla5[[#This Row],[LEVEL OF OCCUPANCY]]</f>
        <v>4.9593352155978938E-2</v>
      </c>
      <c r="C46">
        <f>C11/Tabla5[[#This Row],[LEVEL OF OCCUPANCY]]</f>
        <v>2.727634368578842E-3</v>
      </c>
    </row>
    <row r="47" spans="1:3" x14ac:dyDescent="0.3">
      <c r="A47" s="37">
        <f>'Passenger transport data'!J8</f>
        <v>941.92</v>
      </c>
      <c r="B47">
        <f>B11/Tabla5[[#This Row],[LEVEL OF OCCUPANCY]]</f>
        <v>2.9484751579060015E-2</v>
      </c>
      <c r="C47">
        <f>C11/Tabla5[[#This Row],[LEVEL OF OCCUPANCY]]</f>
        <v>1.6216613368483009E-3</v>
      </c>
    </row>
    <row r="48" spans="1:3" x14ac:dyDescent="0.3">
      <c r="A48" t="s">
        <v>186</v>
      </c>
    </row>
    <row r="49" spans="1:3" x14ac:dyDescent="0.3">
      <c r="A49" s="37">
        <f>'Passenger transport data'!H6</f>
        <v>24.393023010116146</v>
      </c>
      <c r="B49">
        <f>B12/Tabla5[[#This Row],[LEVEL OF OCCUPANCY]]</f>
        <v>0.2288352854459331</v>
      </c>
      <c r="C49">
        <f>C12/Tabla5[[#This Row],[LEVEL OF OCCUPANCY]]</f>
        <v>1.2585940699526321E-2</v>
      </c>
    </row>
    <row r="50" spans="1:3" x14ac:dyDescent="0.3">
      <c r="A50" s="37">
        <f>'Passenger transport data'!I6</f>
        <v>76.707619528667124</v>
      </c>
      <c r="B50">
        <f>B12/Tabla5[[#This Row],[LEVEL OF OCCUPANCY]]</f>
        <v>7.2769620771806723E-2</v>
      </c>
      <c r="C50">
        <f>C12/Tabla5[[#This Row],[LEVEL OF OCCUPANCY]]</f>
        <v>4.0023291424493698E-3</v>
      </c>
    </row>
    <row r="51" spans="1:3" x14ac:dyDescent="0.3">
      <c r="A51" s="37">
        <f>'Passenger transport data'!J6</f>
        <v>129.02221604721811</v>
      </c>
      <c r="B51">
        <f>B12/Tabla5[[#This Row],[LEVEL OF OCCUPANCY]]</f>
        <v>4.3263745999885091E-2</v>
      </c>
      <c r="C51">
        <f>C12/Tabla5[[#This Row],[LEVEL OF OCCUPANCY]]</f>
        <v>2.3795060299936798E-3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9.1</v>
      </c>
      <c r="E2">
        <f>(Tabla1[[#This Row],[% fuel used for buses]]*C10+C3*((C11+C10)/2)+C4*((C12+C13+C14)/3)+C5*C15+C6*C16)/100</f>
        <v>0.22188376526225276</v>
      </c>
      <c r="F2" t="s">
        <v>47</v>
      </c>
    </row>
    <row r="3" spans="2:6" x14ac:dyDescent="0.3">
      <c r="B3" t="s">
        <v>161</v>
      </c>
      <c r="C3">
        <v>4</v>
      </c>
    </row>
    <row r="4" spans="2:6" x14ac:dyDescent="0.3">
      <c r="B4" t="s">
        <v>162</v>
      </c>
      <c r="C4">
        <v>23.6</v>
      </c>
      <c r="E4" t="s">
        <v>163</v>
      </c>
    </row>
    <row r="5" spans="2:6" x14ac:dyDescent="0.3">
      <c r="B5" t="s">
        <v>164</v>
      </c>
      <c r="C5">
        <v>0</v>
      </c>
      <c r="E5">
        <f>(C12+C13+C14)/3</f>
        <v>0.22800000000000001</v>
      </c>
      <c r="F5" t="s">
        <v>47</v>
      </c>
    </row>
    <row r="6" spans="2:6" x14ac:dyDescent="0.3">
      <c r="B6" t="s">
        <v>165</v>
      </c>
      <c r="C6">
        <v>63.4</v>
      </c>
    </row>
    <row r="9" spans="2:6" x14ac:dyDescent="0.3">
      <c r="B9" t="s">
        <v>166</v>
      </c>
      <c r="C9" t="s">
        <v>167</v>
      </c>
    </row>
    <row r="10" spans="2:6" x14ac:dyDescent="0.3">
      <c r="B10" t="s">
        <v>168</v>
      </c>
      <c r="C10">
        <f>'Passenger transport data'!D17</f>
        <v>5.5E-2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2.73*1000/11630</f>
        <v>0.234737747205503</v>
      </c>
    </row>
    <row r="16" spans="2:6" x14ac:dyDescent="0.3">
      <c r="B16" t="s">
        <v>165</v>
      </c>
      <c r="C16">
        <f>2.88*1000/11630</f>
        <v>0.24763542562338778</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76" t="s">
        <v>122</v>
      </c>
      <c r="C2" s="77"/>
      <c r="D2" s="77"/>
      <c r="E2" s="77"/>
      <c r="F2" s="77"/>
      <c r="G2" s="78"/>
      <c r="H2" s="76" t="s">
        <v>123</v>
      </c>
      <c r="I2" s="77"/>
      <c r="J2" s="77"/>
      <c r="K2" s="77"/>
      <c r="L2" s="77"/>
      <c r="M2" s="78"/>
    </row>
    <row r="3" spans="1:13" x14ac:dyDescent="0.3">
      <c r="B3" s="19" t="s">
        <v>104</v>
      </c>
      <c r="G3" s="20"/>
      <c r="H3" s="19" t="s">
        <v>104</v>
      </c>
      <c r="M3" s="20"/>
    </row>
    <row r="4" spans="1:13" x14ac:dyDescent="0.3">
      <c r="B4" s="79" t="s">
        <v>106</v>
      </c>
      <c r="C4">
        <v>4.0000000000000001E-3</v>
      </c>
      <c r="D4" t="s">
        <v>105</v>
      </c>
      <c r="E4" s="80" t="s">
        <v>112</v>
      </c>
      <c r="G4" s="20"/>
      <c r="H4" s="79" t="s">
        <v>106</v>
      </c>
      <c r="I4">
        <f>0.85/100</f>
        <v>8.5000000000000006E-3</v>
      </c>
      <c r="J4" t="s">
        <v>86</v>
      </c>
      <c r="K4" s="41" t="s">
        <v>112</v>
      </c>
      <c r="L4" s="23" t="s">
        <v>132</v>
      </c>
      <c r="M4" s="24"/>
    </row>
    <row r="5" spans="1:13" x14ac:dyDescent="0.3">
      <c r="B5" s="79"/>
      <c r="C5">
        <f>C4*10</f>
        <v>0.04</v>
      </c>
      <c r="D5" t="s">
        <v>86</v>
      </c>
      <c r="E5" s="80"/>
      <c r="F5" t="s">
        <v>149</v>
      </c>
      <c r="G5" s="20">
        <f>BUS!C15*1000</f>
        <v>234.73774720550301</v>
      </c>
      <c r="H5" s="79"/>
      <c r="K5" s="41" t="s">
        <v>150</v>
      </c>
      <c r="L5" s="9" t="s">
        <v>133</v>
      </c>
      <c r="M5" s="20"/>
    </row>
    <row r="6" spans="1:13" x14ac:dyDescent="0.3">
      <c r="B6" s="79"/>
      <c r="C6">
        <v>0.1</v>
      </c>
      <c r="D6" t="s">
        <v>66</v>
      </c>
      <c r="E6" s="80"/>
      <c r="G6" t="s">
        <v>108</v>
      </c>
      <c r="H6" s="79"/>
      <c r="I6">
        <f>2.8/100</f>
        <v>2.7999999999999997E-2</v>
      </c>
      <c r="J6" t="s">
        <v>66</v>
      </c>
      <c r="K6" s="41">
        <f>BUS!E5*1000</f>
        <v>228</v>
      </c>
      <c r="L6" s="9">
        <f>'Passenger transport data'!D16*1000</f>
        <v>240.86372984819349</v>
      </c>
      <c r="M6" s="20" t="s">
        <v>108</v>
      </c>
    </row>
    <row r="7" spans="1:13" x14ac:dyDescent="0.3">
      <c r="B7" s="19" t="s">
        <v>110</v>
      </c>
      <c r="C7">
        <v>80</v>
      </c>
      <c r="D7" t="s">
        <v>111</v>
      </c>
      <c r="E7" s="80"/>
      <c r="G7" s="20"/>
      <c r="H7" s="19" t="s">
        <v>110</v>
      </c>
      <c r="I7">
        <v>70</v>
      </c>
      <c r="J7" t="s">
        <v>111</v>
      </c>
      <c r="K7" s="42" t="s">
        <v>151</v>
      </c>
      <c r="L7" s="47" t="s">
        <v>134</v>
      </c>
      <c r="M7" s="81"/>
    </row>
    <row r="8" spans="1:13" ht="15" thickBot="1" x14ac:dyDescent="0.35">
      <c r="A8" s="84" t="s">
        <v>109</v>
      </c>
      <c r="B8" s="21" t="s">
        <v>107</v>
      </c>
      <c r="C8" s="22">
        <f>F8</f>
        <v>247.63542562338779</v>
      </c>
      <c r="D8" s="22" t="s">
        <v>108</v>
      </c>
      <c r="E8" s="22" t="s">
        <v>147</v>
      </c>
      <c r="F8" s="22">
        <f>BUS!C16*1000</f>
        <v>247.63542562338779</v>
      </c>
      <c r="G8" s="22" t="s">
        <v>108</v>
      </c>
      <c r="H8" s="21" t="s">
        <v>131</v>
      </c>
      <c r="I8" s="22">
        <f>BUS!C10*1000</f>
        <v>55</v>
      </c>
      <c r="J8" s="22" t="s">
        <v>108</v>
      </c>
      <c r="K8" s="43">
        <f>BUS!E2*1000</f>
        <v>221.88376526225275</v>
      </c>
      <c r="L8" s="82"/>
      <c r="M8" s="83"/>
    </row>
    <row r="9" spans="1:13" x14ac:dyDescent="0.3">
      <c r="A9" s="56"/>
      <c r="B9" s="11" t="s">
        <v>113</v>
      </c>
      <c r="C9" s="85" t="s">
        <v>114</v>
      </c>
      <c r="D9" s="85"/>
      <c r="E9" s="85"/>
      <c r="F9" s="85" t="s">
        <v>115</v>
      </c>
      <c r="G9" s="85"/>
      <c r="H9" s="1" t="s">
        <v>116</v>
      </c>
      <c r="I9" s="1" t="s">
        <v>118</v>
      </c>
      <c r="J9" s="1" t="s">
        <v>119</v>
      </c>
      <c r="K9" s="1" t="s">
        <v>117</v>
      </c>
    </row>
    <row r="10" spans="1:13" x14ac:dyDescent="0.3">
      <c r="A10" s="86" t="s">
        <v>152</v>
      </c>
      <c r="B10" s="86"/>
      <c r="C10" s="86"/>
      <c r="D10" s="86"/>
      <c r="E10" s="86"/>
      <c r="F10" s="86"/>
      <c r="G10" s="86"/>
      <c r="H10" s="86"/>
      <c r="I10" s="86"/>
      <c r="J10" s="86"/>
      <c r="K10" s="86"/>
    </row>
    <row r="11" spans="1:13" x14ac:dyDescent="0.3">
      <c r="A11" s="1">
        <v>1</v>
      </c>
      <c r="B11" s="1">
        <v>0</v>
      </c>
      <c r="C11" s="87">
        <f>C$5*B11/100</f>
        <v>0</v>
      </c>
      <c r="D11" s="87"/>
      <c r="E11" s="87"/>
      <c r="F11" s="87">
        <f>'Passenger transport data'!D13</f>
        <v>6.0620280525191834</v>
      </c>
      <c r="G11" s="87"/>
      <c r="H11" s="30">
        <f>F11/A11</f>
        <v>6.0620280525191834</v>
      </c>
      <c r="I11" s="1">
        <v>0</v>
      </c>
      <c r="J11" s="1">
        <f>I$8*F11</f>
        <v>333.41154288855506</v>
      </c>
      <c r="K11" s="30">
        <f>J11/A11</f>
        <v>333.41154288855506</v>
      </c>
    </row>
    <row r="12" spans="1:13" x14ac:dyDescent="0.3">
      <c r="A12" s="18">
        <f>'Passenger transport data'!H5</f>
        <v>6.0806216666746602</v>
      </c>
      <c r="B12" s="1">
        <f>C$7*A12</f>
        <v>486.4497333339728</v>
      </c>
      <c r="C12" s="87">
        <f>I$4*B12/100</f>
        <v>4.1348227333387694E-2</v>
      </c>
      <c r="D12" s="87"/>
      <c r="E12" s="87"/>
      <c r="F12" s="87">
        <f>F$11+C12</f>
        <v>6.1033762798525713</v>
      </c>
      <c r="G12" s="87"/>
      <c r="H12" s="27">
        <f t="shared" ref="H12:H14" si="0">F12/A12</f>
        <v>1.0037421524352714</v>
      </c>
      <c r="I12" s="1">
        <f>I$6*B12</f>
        <v>13.620592533351237</v>
      </c>
      <c r="J12" s="1">
        <f>F12*(I12+J$11)</f>
        <v>2118.0677036806483</v>
      </c>
      <c r="K12" s="27">
        <f>J12/A12</f>
        <v>348.33078257259285</v>
      </c>
    </row>
    <row r="13" spans="1:13" x14ac:dyDescent="0.3">
      <c r="A13" s="18">
        <f>'Passenger transport data'!I5</f>
        <v>19.121451781995788</v>
      </c>
      <c r="B13" s="1">
        <f t="shared" ref="B13:B14" si="1">C$7*A13</f>
        <v>1529.716142559663</v>
      </c>
      <c r="C13" s="87">
        <f t="shared" ref="C13:C14" si="2">I$4*B13/100</f>
        <v>0.13002587211757136</v>
      </c>
      <c r="D13" s="87"/>
      <c r="E13" s="87"/>
      <c r="F13" s="87">
        <f t="shared" ref="F13:F14" si="3">F$11+C13</f>
        <v>6.1920539246367552</v>
      </c>
      <c r="G13" s="87"/>
      <c r="H13" s="27">
        <f t="shared" si="0"/>
        <v>0.32382760447441633</v>
      </c>
      <c r="I13" s="1">
        <f t="shared" ref="I13:I14" si="4">I$6*B13</f>
        <v>42.832051991670561</v>
      </c>
      <c r="J13" s="1">
        <f>F13*(I13+J$11)</f>
        <v>2329.7206282975421</v>
      </c>
      <c r="K13" s="27">
        <f>J13/A13</f>
        <v>121.83806202890622</v>
      </c>
    </row>
    <row r="14" spans="1:13" x14ac:dyDescent="0.3">
      <c r="A14" s="18">
        <f>'Passenger transport data'!J5</f>
        <v>32.162281897316909</v>
      </c>
      <c r="B14" s="1">
        <f t="shared" si="1"/>
        <v>2572.9825517853528</v>
      </c>
      <c r="C14" s="87">
        <f t="shared" si="2"/>
        <v>0.21870351690175499</v>
      </c>
      <c r="D14" s="87"/>
      <c r="E14" s="87"/>
      <c r="F14" s="87">
        <f t="shared" si="3"/>
        <v>6.2807315694209382</v>
      </c>
      <c r="G14" s="87"/>
      <c r="H14" s="27">
        <f t="shared" si="0"/>
        <v>0.19528252346873742</v>
      </c>
      <c r="I14" s="1">
        <f t="shared" si="4"/>
        <v>72.043511449989879</v>
      </c>
      <c r="J14" s="1">
        <f>F14*(I14+J$11)</f>
        <v>2546.5543597653809</v>
      </c>
      <c r="K14" s="27">
        <f>J14/A14</f>
        <v>79.178286164385099</v>
      </c>
    </row>
    <row r="15" spans="1:13" x14ac:dyDescent="0.3">
      <c r="A15" s="86" t="s">
        <v>153</v>
      </c>
      <c r="B15" s="86"/>
      <c r="C15" s="86"/>
      <c r="D15" s="86"/>
      <c r="E15" s="86"/>
      <c r="F15" s="86"/>
      <c r="G15" s="86"/>
      <c r="H15" s="86"/>
      <c r="I15" s="86"/>
      <c r="J15" s="86"/>
      <c r="K15" s="86"/>
    </row>
    <row r="16" spans="1:13" x14ac:dyDescent="0.3">
      <c r="A16" s="1">
        <v>1</v>
      </c>
      <c r="B16" s="1">
        <v>0</v>
      </c>
      <c r="C16" s="87">
        <f>C$5*B16/100</f>
        <v>0</v>
      </c>
      <c r="D16" s="87"/>
      <c r="E16" s="87"/>
      <c r="F16" s="87">
        <f>'Passenger transport data'!D13</f>
        <v>6.0620280525191834</v>
      </c>
      <c r="G16" s="87"/>
      <c r="H16" s="30">
        <f>F16/A16</f>
        <v>6.0620280525191834</v>
      </c>
      <c r="I16" s="1">
        <v>0</v>
      </c>
      <c r="J16" s="1">
        <f>F16*(0.5*C$8+0.5*I$8)</f>
        <v>917.29221990752978</v>
      </c>
      <c r="K16" s="30">
        <f>J16/A16</f>
        <v>917.29221990752978</v>
      </c>
    </row>
    <row r="17" spans="1:11" x14ac:dyDescent="0.3">
      <c r="A17" s="18">
        <f>'Passenger transport data'!H5</f>
        <v>6.0806216666746602</v>
      </c>
      <c r="B17" s="1">
        <f>C$7*A17</f>
        <v>486.4497333339728</v>
      </c>
      <c r="C17" s="88">
        <f>B17*(0.5*I$4+0.5*C$5)/100</f>
        <v>0.11796406033348841</v>
      </c>
      <c r="D17" s="89"/>
      <c r="E17" s="90"/>
      <c r="F17" s="88">
        <f>F$16+C17</f>
        <v>6.1799921128526716</v>
      </c>
      <c r="G17" s="90"/>
      <c r="H17" s="27">
        <f>F17/A17</f>
        <v>1.0163421524352714</v>
      </c>
      <c r="I17" s="1">
        <f>B17*(0.5*C$6+0.5*I$6)/100</f>
        <v>0.31132782933374259</v>
      </c>
      <c r="J17" s="1">
        <f>F17*(I17+J$16)</f>
        <v>5670.7826877394464</v>
      </c>
      <c r="K17" s="27">
        <f>J17/A17</f>
        <v>932.59916478912521</v>
      </c>
    </row>
    <row r="18" spans="1:11" x14ac:dyDescent="0.3">
      <c r="A18" s="18">
        <f>'Passenger transport data'!I5</f>
        <v>19.121451781995788</v>
      </c>
      <c r="B18" s="1">
        <f t="shared" ref="B18:B19" si="5">C$7*A18</f>
        <v>1529.716142559663</v>
      </c>
      <c r="C18" s="88">
        <f t="shared" ref="C18:C19" si="6">B18*(0.5*I$4+0.5*C$5)/100</f>
        <v>0.37095616457071828</v>
      </c>
      <c r="D18" s="89"/>
      <c r="E18" s="90"/>
      <c r="F18" s="88">
        <f t="shared" ref="F18:F19" si="7">F$16+C18</f>
        <v>6.4329842170899019</v>
      </c>
      <c r="G18" s="90"/>
      <c r="H18" s="27">
        <f t="shared" ref="H18:H19" si="8">F18/A18</f>
        <v>0.33642760447441633</v>
      </c>
      <c r="I18" s="1">
        <f t="shared" ref="I18:I19" si="9">B18*(0.5*C$6+0.5*I$6)/100</f>
        <v>0.97901833123818438</v>
      </c>
      <c r="J18" s="1">
        <f t="shared" ref="J18:J19" si="10">F18*(I18+J$16)</f>
        <v>5907.2243825975956</v>
      </c>
      <c r="K18" s="27">
        <f t="shared" ref="K18:K19" si="11">J18/A18</f>
        <v>308.93179293842473</v>
      </c>
    </row>
    <row r="19" spans="1:11" x14ac:dyDescent="0.3">
      <c r="A19" s="18">
        <f>'Passenger transport data'!J5</f>
        <v>32.162281897316909</v>
      </c>
      <c r="B19" s="1">
        <f t="shared" si="5"/>
        <v>2572.9825517853528</v>
      </c>
      <c r="C19" s="88">
        <f t="shared" si="6"/>
        <v>0.62394826880794807</v>
      </c>
      <c r="D19" s="89"/>
      <c r="E19" s="90"/>
      <c r="F19" s="88">
        <f t="shared" si="7"/>
        <v>6.6859763213271313</v>
      </c>
      <c r="G19" s="90"/>
      <c r="H19" s="27">
        <f t="shared" si="8"/>
        <v>0.20788252346873742</v>
      </c>
      <c r="I19" s="1">
        <f t="shared" si="9"/>
        <v>1.6467088331426261</v>
      </c>
      <c r="J19" s="1">
        <f t="shared" si="10"/>
        <v>6144.0039183058552</v>
      </c>
      <c r="K19" s="27">
        <f t="shared" si="11"/>
        <v>191.03134342026925</v>
      </c>
    </row>
    <row r="20" spans="1:11" x14ac:dyDescent="0.3">
      <c r="A20" s="86" t="s">
        <v>154</v>
      </c>
      <c r="B20" s="86"/>
      <c r="C20" s="86"/>
      <c r="D20" s="86"/>
      <c r="E20" s="86"/>
      <c r="F20" s="86"/>
      <c r="G20" s="86"/>
      <c r="H20" s="86"/>
      <c r="I20" s="86"/>
      <c r="J20" s="86"/>
      <c r="K20" s="86"/>
    </row>
    <row r="21" spans="1:11" x14ac:dyDescent="0.3">
      <c r="A21" s="1">
        <v>1</v>
      </c>
      <c r="B21" s="1">
        <v>0</v>
      </c>
      <c r="C21" s="88">
        <f>B21*C$5/100</f>
        <v>0</v>
      </c>
      <c r="D21" s="89"/>
      <c r="E21" s="90"/>
      <c r="F21" s="87">
        <f>'Passenger transport data'!D13</f>
        <v>6.0620280525191834</v>
      </c>
      <c r="G21" s="87"/>
      <c r="H21" s="30">
        <f>F21/A21</f>
        <v>6.0620280525191834</v>
      </c>
      <c r="I21" s="1">
        <v>0</v>
      </c>
      <c r="J21" s="1">
        <f>F21*K$6</f>
        <v>1382.1423959743738</v>
      </c>
      <c r="K21" s="30">
        <f>J21/A21</f>
        <v>1382.1423959743738</v>
      </c>
    </row>
    <row r="22" spans="1:11" x14ac:dyDescent="0.3">
      <c r="A22" s="18">
        <f>'Passenger transport data'!H5</f>
        <v>6.0806216666746602</v>
      </c>
      <c r="B22" s="1">
        <f>C$7*A22</f>
        <v>486.4497333339728</v>
      </c>
      <c r="C22" s="88">
        <f>B22*C$5/100</f>
        <v>0.19457989333358913</v>
      </c>
      <c r="D22" s="89"/>
      <c r="E22" s="90"/>
      <c r="F22" s="91">
        <f>F$21+C22</f>
        <v>6.2566079458527728</v>
      </c>
      <c r="G22" s="92"/>
      <c r="H22" s="27">
        <f t="shared" ref="H22:H24" si="12">F22/A22</f>
        <v>1.0289421524352715</v>
      </c>
      <c r="I22" s="1">
        <f>C$6*B22</f>
        <v>48.644973333397282</v>
      </c>
      <c r="J22" s="1">
        <f>F22*(I22+J$21)</f>
        <v>8951.8756236367863</v>
      </c>
      <c r="K22" s="27">
        <f t="shared" ref="K22:K24" si="13">J22/A22</f>
        <v>1472.1974354527376</v>
      </c>
    </row>
    <row r="23" spans="1:11" x14ac:dyDescent="0.3">
      <c r="A23" s="18">
        <f>'Passenger transport data'!I5</f>
        <v>19.121451781995788</v>
      </c>
      <c r="B23" s="1">
        <f t="shared" ref="B23:B24" si="14">C$7*A23</f>
        <v>1529.716142559663</v>
      </c>
      <c r="C23" s="88">
        <f t="shared" ref="C23:C24" si="15">B23*C$5/100</f>
        <v>0.61188645702386524</v>
      </c>
      <c r="D23" s="89"/>
      <c r="E23" s="90"/>
      <c r="F23" s="88">
        <f>F$21+C23</f>
        <v>6.6739145095430485</v>
      </c>
      <c r="G23" s="90"/>
      <c r="H23" s="27">
        <f t="shared" si="12"/>
        <v>0.34902760447441628</v>
      </c>
      <c r="I23" s="1">
        <f t="shared" ref="I23:I24" si="16">C$6*B23</f>
        <v>152.9716142559663</v>
      </c>
      <c r="J23" s="1">
        <f t="shared" ref="J23:J24" si="17">F23*(I23+J$21)</f>
        <v>10245.219666679084</v>
      </c>
      <c r="K23" s="27">
        <f t="shared" si="13"/>
        <v>535.79716558581026</v>
      </c>
    </row>
    <row r="24" spans="1:11" x14ac:dyDescent="0.3">
      <c r="A24" s="18">
        <f>'Passenger transport data'!J5</f>
        <v>32.162281897316909</v>
      </c>
      <c r="B24" s="1">
        <f t="shared" si="14"/>
        <v>2572.9825517853528</v>
      </c>
      <c r="C24" s="88">
        <f t="shared" si="15"/>
        <v>1.0291930207141411</v>
      </c>
      <c r="D24" s="89"/>
      <c r="E24" s="90"/>
      <c r="F24" s="88">
        <f t="shared" ref="F24" si="18">F$21+C24</f>
        <v>7.0912210732333243</v>
      </c>
      <c r="G24" s="90"/>
      <c r="H24" s="27">
        <f t="shared" si="12"/>
        <v>0.22048252346873742</v>
      </c>
      <c r="I24" s="1">
        <f t="shared" si="16"/>
        <v>257.29825517853527</v>
      </c>
      <c r="J24" s="1">
        <f t="shared" si="17"/>
        <v>11625.636093770872</v>
      </c>
      <c r="K24" s="27">
        <f t="shared" si="13"/>
        <v>361.46801184342348</v>
      </c>
    </row>
    <row r="25" spans="1:11" x14ac:dyDescent="0.3">
      <c r="A25" s="86" t="s">
        <v>155</v>
      </c>
      <c r="B25" s="86"/>
      <c r="C25" s="86"/>
      <c r="D25" s="86"/>
      <c r="E25" s="86"/>
      <c r="F25" s="86"/>
      <c r="G25" s="86"/>
      <c r="H25" s="86"/>
      <c r="I25" s="86"/>
      <c r="J25" s="86"/>
      <c r="K25" s="86"/>
    </row>
    <row r="26" spans="1:11" x14ac:dyDescent="0.3">
      <c r="A26" s="1">
        <v>1</v>
      </c>
      <c r="B26" s="1">
        <v>0</v>
      </c>
      <c r="C26" s="88">
        <f>B26*C$5/100</f>
        <v>0</v>
      </c>
      <c r="D26" s="89"/>
      <c r="E26" s="90"/>
      <c r="F26" s="87">
        <f>'Passenger transport data'!D13</f>
        <v>6.0620280525191834</v>
      </c>
      <c r="G26" s="87"/>
      <c r="H26" s="30">
        <f>F26/A26</f>
        <v>6.0620280525191834</v>
      </c>
      <c r="I26" s="1">
        <v>0</v>
      </c>
      <c r="J26" s="1">
        <f>C$8*F26</f>
        <v>1501.1728969265046</v>
      </c>
      <c r="K26" s="30">
        <f>J26/A26</f>
        <v>1501.1728969265046</v>
      </c>
    </row>
    <row r="27" spans="1:11" x14ac:dyDescent="0.3">
      <c r="A27" s="18">
        <f>'Passenger transport data'!H5</f>
        <v>6.0806216666746602</v>
      </c>
      <c r="B27" s="1">
        <f>C$7*A27</f>
        <v>486.4497333339728</v>
      </c>
      <c r="C27" s="88">
        <f>B27*C$5/100</f>
        <v>0.19457989333358913</v>
      </c>
      <c r="D27" s="89"/>
      <c r="E27" s="90"/>
      <c r="F27" s="91">
        <f>F$26+C27</f>
        <v>6.2566079458527728</v>
      </c>
      <c r="G27" s="92"/>
      <c r="H27" s="27">
        <f>F27/A27</f>
        <v>1.0289421524352715</v>
      </c>
      <c r="I27" s="1">
        <f>C$6*B27</f>
        <v>48.644973333397282</v>
      </c>
      <c r="J27" s="1">
        <f>F27*(I27+J$26)</f>
        <v>9696.602801692723</v>
      </c>
      <c r="K27" s="27">
        <f>J27/A27</f>
        <v>1594.6729353078717</v>
      </c>
    </row>
    <row r="28" spans="1:11" x14ac:dyDescent="0.3">
      <c r="A28" s="18">
        <f>'Passenger transport data'!I5</f>
        <v>19.121451781995788</v>
      </c>
      <c r="B28" s="1">
        <f t="shared" ref="B28:B29" si="19">C$7*A28</f>
        <v>1529.716142559663</v>
      </c>
      <c r="C28" s="88">
        <f t="shared" ref="C28:C29" si="20">B28*C$5/100</f>
        <v>0.61188645702386524</v>
      </c>
      <c r="D28" s="89"/>
      <c r="E28" s="90"/>
      <c r="F28" s="91">
        <f t="shared" ref="F28:F29" si="21">F$26+C28</f>
        <v>6.6739145095430485</v>
      </c>
      <c r="G28" s="92"/>
      <c r="H28" s="27">
        <f t="shared" ref="H28:H29" si="22">F28/A28</f>
        <v>0.34902760447441628</v>
      </c>
      <c r="I28" s="1">
        <f t="shared" ref="I28:I29" si="23">C$6*B28</f>
        <v>152.9716142559663</v>
      </c>
      <c r="J28" s="1">
        <f t="shared" ref="J28:J29" si="24">F28*(I28+J$26)</f>
        <v>11039.619054061686</v>
      </c>
      <c r="K28" s="27">
        <f t="shared" ref="K28:K29" si="25">J28/A28</f>
        <v>577.34209619252215</v>
      </c>
    </row>
    <row r="29" spans="1:11" x14ac:dyDescent="0.3">
      <c r="A29" s="18">
        <f>'Passenger transport data'!J5</f>
        <v>32.162281897316909</v>
      </c>
      <c r="B29" s="1">
        <f t="shared" si="19"/>
        <v>2572.9825517853528</v>
      </c>
      <c r="C29" s="88">
        <f t="shared" si="20"/>
        <v>1.0291930207141411</v>
      </c>
      <c r="D29" s="89"/>
      <c r="E29" s="90"/>
      <c r="F29" s="91">
        <f t="shared" si="21"/>
        <v>7.0912210732333243</v>
      </c>
      <c r="G29" s="92"/>
      <c r="H29" s="27">
        <f t="shared" si="22"/>
        <v>0.22048252346873742</v>
      </c>
      <c r="I29" s="1">
        <f t="shared" si="23"/>
        <v>257.29825517853527</v>
      </c>
      <c r="J29" s="1">
        <f t="shared" si="24"/>
        <v>12469.707690480142</v>
      </c>
      <c r="K29" s="27">
        <f t="shared" si="25"/>
        <v>387.71215706309721</v>
      </c>
    </row>
    <row r="30" spans="1:11" x14ac:dyDescent="0.3">
      <c r="A30" s="86" t="s">
        <v>156</v>
      </c>
      <c r="B30" s="86"/>
      <c r="C30" s="86"/>
      <c r="D30" s="86"/>
      <c r="E30" s="86"/>
      <c r="F30" s="86"/>
      <c r="G30" s="86"/>
      <c r="H30" s="86"/>
      <c r="I30" s="86"/>
      <c r="J30" s="86"/>
      <c r="K30" s="86"/>
    </row>
    <row r="31" spans="1:11" x14ac:dyDescent="0.3">
      <c r="A31" s="1">
        <v>1</v>
      </c>
      <c r="B31" s="1">
        <v>0</v>
      </c>
      <c r="C31" s="88">
        <f>B31*C$5/100</f>
        <v>0</v>
      </c>
      <c r="D31" s="89"/>
      <c r="E31" s="90"/>
      <c r="F31" s="87">
        <f>'Passenger transport data'!D13</f>
        <v>6.0620280525191834</v>
      </c>
      <c r="G31" s="87"/>
      <c r="H31" s="30">
        <f>F31/A31</f>
        <v>6.0620280525191834</v>
      </c>
      <c r="I31" s="1">
        <v>0</v>
      </c>
      <c r="J31" s="1">
        <f>K$8*F31</f>
        <v>1345.0656094183578</v>
      </c>
      <c r="K31" s="30">
        <f>J31/A31</f>
        <v>1345.0656094183578</v>
      </c>
    </row>
    <row r="32" spans="1:11" x14ac:dyDescent="0.3">
      <c r="A32" s="18">
        <f>'Passenger transport data'!H5</f>
        <v>6.0806216666746602</v>
      </c>
      <c r="B32" s="1">
        <f>C$7*A32</f>
        <v>486.4497333339728</v>
      </c>
      <c r="C32" s="88">
        <f>B32*C$5/100</f>
        <v>0.19457989333358913</v>
      </c>
      <c r="D32" s="89"/>
      <c r="E32" s="90"/>
      <c r="F32" s="91">
        <f>F$31+C32</f>
        <v>6.2566079458527728</v>
      </c>
      <c r="G32" s="92"/>
      <c r="H32" s="27">
        <f>F32/A32</f>
        <v>1.0289421524352715</v>
      </c>
      <c r="I32" s="1">
        <f>C$6*B32</f>
        <v>48.644973333397282</v>
      </c>
      <c r="J32" s="1">
        <f>F32*(I32+J$31)</f>
        <v>8719.9007062637284</v>
      </c>
      <c r="K32" s="27">
        <f t="shared" ref="K32:K34" si="26">J32/A32</f>
        <v>1434.0475668884073</v>
      </c>
    </row>
    <row r="33" spans="1:11" x14ac:dyDescent="0.3">
      <c r="A33" s="18">
        <f>'Passenger transport data'!I5</f>
        <v>19.121451781995788</v>
      </c>
      <c r="B33" s="1">
        <f t="shared" ref="B33:B34" si="27">C$7*A33</f>
        <v>1529.716142559663</v>
      </c>
      <c r="C33" s="88">
        <f t="shared" ref="C33:C34" si="28">B33*C$5/100</f>
        <v>0.61188645702386524</v>
      </c>
      <c r="D33" s="89"/>
      <c r="E33" s="90"/>
      <c r="F33" s="91">
        <f t="shared" ref="F33:F34" si="29">F$31+C33</f>
        <v>6.6739145095430485</v>
      </c>
      <c r="G33" s="92"/>
      <c r="H33" s="27">
        <f t="shared" ref="H33:H34" si="30">F33/A33</f>
        <v>0.34902760447441628</v>
      </c>
      <c r="I33" s="1">
        <f t="shared" ref="I33:I34" si="31">C$6*B33</f>
        <v>152.9716142559663</v>
      </c>
      <c r="J33" s="1">
        <f t="shared" ref="J33:J34" si="32">F33*(I33+J$31)</f>
        <v>9997.7723629156571</v>
      </c>
      <c r="K33" s="27">
        <f t="shared" si="26"/>
        <v>522.85634359255471</v>
      </c>
    </row>
    <row r="34" spans="1:11" x14ac:dyDescent="0.3">
      <c r="A34" s="18">
        <f>'Passenger transport data'!J5</f>
        <v>32.162281897316909</v>
      </c>
      <c r="B34" s="1">
        <f t="shared" si="27"/>
        <v>2572.9825517853528</v>
      </c>
      <c r="C34" s="88">
        <f t="shared" si="28"/>
        <v>1.0291930207141411</v>
      </c>
      <c r="D34" s="89"/>
      <c r="E34" s="90"/>
      <c r="F34" s="91">
        <f t="shared" si="29"/>
        <v>7.0912210732333243</v>
      </c>
      <c r="G34" s="92"/>
      <c r="H34" s="27">
        <f t="shared" si="30"/>
        <v>0.22048252346873742</v>
      </c>
      <c r="I34" s="1">
        <f t="shared" si="31"/>
        <v>257.29825517853527</v>
      </c>
      <c r="J34" s="1">
        <f t="shared" si="32"/>
        <v>11362.716403617078</v>
      </c>
      <c r="K34" s="27">
        <f t="shared" si="26"/>
        <v>353.29322838144128</v>
      </c>
    </row>
  </sheetData>
  <mergeCells count="54">
    <mergeCell ref="C33:E33"/>
    <mergeCell ref="F33:G33"/>
    <mergeCell ref="C34:E34"/>
    <mergeCell ref="F34:G34"/>
    <mergeCell ref="C29:E29"/>
    <mergeCell ref="F29:G29"/>
    <mergeCell ref="A30:K30"/>
    <mergeCell ref="C31:E31"/>
    <mergeCell ref="F31:G31"/>
    <mergeCell ref="C32:E32"/>
    <mergeCell ref="F32:G32"/>
    <mergeCell ref="C28:E28"/>
    <mergeCell ref="F28:G28"/>
    <mergeCell ref="A25:K25"/>
    <mergeCell ref="C26:E26"/>
    <mergeCell ref="F26:G26"/>
    <mergeCell ref="C27:E27"/>
    <mergeCell ref="F27:G27"/>
    <mergeCell ref="C19:E19"/>
    <mergeCell ref="F19:G19"/>
    <mergeCell ref="A20:K20"/>
    <mergeCell ref="C21:E21"/>
    <mergeCell ref="F21:G21"/>
    <mergeCell ref="C22:E22"/>
    <mergeCell ref="F22:G22"/>
    <mergeCell ref="C23:E23"/>
    <mergeCell ref="F23:G23"/>
    <mergeCell ref="C24:E24"/>
    <mergeCell ref="F24:G24"/>
    <mergeCell ref="C18:E18"/>
    <mergeCell ref="F18:G18"/>
    <mergeCell ref="C12:E12"/>
    <mergeCell ref="F12:G12"/>
    <mergeCell ref="C13:E13"/>
    <mergeCell ref="F13:G13"/>
    <mergeCell ref="C14:E14"/>
    <mergeCell ref="F14:G14"/>
    <mergeCell ref="A15:K15"/>
    <mergeCell ref="C16:E16"/>
    <mergeCell ref="F16:G16"/>
    <mergeCell ref="C17:E17"/>
    <mergeCell ref="F17:G17"/>
    <mergeCell ref="A8:A9"/>
    <mergeCell ref="C9:E9"/>
    <mergeCell ref="F9:G9"/>
    <mergeCell ref="A10:K10"/>
    <mergeCell ref="C11:E11"/>
    <mergeCell ref="F11:G11"/>
    <mergeCell ref="B2:G2"/>
    <mergeCell ref="H2:M2"/>
    <mergeCell ref="B4:B6"/>
    <mergeCell ref="E4:E7"/>
    <mergeCell ref="H4:H6"/>
    <mergeCell ref="L7:M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122</v>
      </c>
      <c r="C2" s="77"/>
      <c r="D2" s="77"/>
      <c r="E2" s="77"/>
      <c r="F2" s="77"/>
      <c r="G2" s="78"/>
    </row>
    <row r="3" spans="1:11" x14ac:dyDescent="0.3">
      <c r="B3" s="19" t="s">
        <v>104</v>
      </c>
      <c r="C3" s="8"/>
      <c r="D3" s="8"/>
      <c r="E3" s="8"/>
      <c r="F3" s="8"/>
      <c r="G3" s="20"/>
    </row>
    <row r="4" spans="1:11" x14ac:dyDescent="0.3">
      <c r="B4" s="79" t="s">
        <v>106</v>
      </c>
      <c r="C4" s="8">
        <v>4.0000000000000001E-3</v>
      </c>
      <c r="D4" s="8" t="s">
        <v>105</v>
      </c>
      <c r="E4" s="98" t="s">
        <v>112</v>
      </c>
      <c r="F4" s="8"/>
      <c r="G4" s="20"/>
    </row>
    <row r="5" spans="1:11" x14ac:dyDescent="0.3">
      <c r="B5" s="79"/>
      <c r="C5" s="8">
        <f>C4*10</f>
        <v>0.04</v>
      </c>
      <c r="D5" s="8" t="s">
        <v>86</v>
      </c>
      <c r="E5" s="98"/>
      <c r="F5" s="8"/>
      <c r="G5" s="20"/>
    </row>
    <row r="6" spans="1:11" x14ac:dyDescent="0.3">
      <c r="B6" s="79"/>
      <c r="C6" s="8">
        <v>0.1</v>
      </c>
      <c r="D6" s="8" t="s">
        <v>66</v>
      </c>
      <c r="E6" s="98"/>
      <c r="F6" s="8"/>
      <c r="G6" s="20"/>
    </row>
    <row r="7" spans="1:11" x14ac:dyDescent="0.3">
      <c r="B7" s="19" t="s">
        <v>110</v>
      </c>
      <c r="C7" s="8">
        <v>80</v>
      </c>
      <c r="D7" s="8" t="s">
        <v>111</v>
      </c>
      <c r="E7" s="98"/>
      <c r="F7" s="8"/>
      <c r="G7" s="20"/>
    </row>
    <row r="8" spans="1:11" ht="15" thickBot="1" x14ac:dyDescent="0.35">
      <c r="A8" s="84" t="s">
        <v>109</v>
      </c>
      <c r="B8" s="21" t="s">
        <v>107</v>
      </c>
      <c r="C8" s="25">
        <f>'Passenger transport data'!D16*10^3</f>
        <v>240.86372984819349</v>
      </c>
      <c r="D8" s="22" t="s">
        <v>108</v>
      </c>
      <c r="E8" s="22" t="s">
        <v>147</v>
      </c>
      <c r="F8" s="22">
        <f>'Passenger transport data'!D15*10^3</f>
        <v>266.76</v>
      </c>
      <c r="G8" s="22" t="s">
        <v>108</v>
      </c>
    </row>
    <row r="9" spans="1:11" x14ac:dyDescent="0.3">
      <c r="A9" s="56"/>
      <c r="B9" s="11" t="s">
        <v>113</v>
      </c>
      <c r="C9" s="85" t="s">
        <v>114</v>
      </c>
      <c r="D9" s="85"/>
      <c r="E9" s="85"/>
      <c r="F9" s="85" t="s">
        <v>115</v>
      </c>
      <c r="G9" s="85"/>
      <c r="H9" s="1" t="s">
        <v>116</v>
      </c>
      <c r="I9" s="1" t="s">
        <v>118</v>
      </c>
      <c r="J9" s="1" t="s">
        <v>119</v>
      </c>
      <c r="K9" s="1" t="s">
        <v>117</v>
      </c>
    </row>
    <row r="10" spans="1:11" x14ac:dyDescent="0.3">
      <c r="A10" s="86" t="s">
        <v>120</v>
      </c>
      <c r="B10" s="86"/>
      <c r="C10" s="86"/>
      <c r="D10" s="86"/>
      <c r="E10" s="86"/>
      <c r="F10" s="86"/>
      <c r="G10" s="86"/>
      <c r="H10" s="86"/>
      <c r="I10" s="86"/>
      <c r="J10" s="86"/>
      <c r="K10" s="86"/>
    </row>
    <row r="11" spans="1:11" x14ac:dyDescent="0.3">
      <c r="A11" s="1">
        <v>1</v>
      </c>
      <c r="B11" s="1">
        <v>0</v>
      </c>
      <c r="C11" s="87">
        <f>C$5*B11/100</f>
        <v>0</v>
      </c>
      <c r="D11" s="87"/>
      <c r="E11" s="87"/>
      <c r="F11" s="93">
        <f>'Passenger transport data'!D10</f>
        <v>0.63435585517082882</v>
      </c>
      <c r="G11" s="93"/>
      <c r="H11" s="27">
        <f>F11/A11</f>
        <v>0.63435585517082882</v>
      </c>
      <c r="I11" s="1">
        <v>0</v>
      </c>
      <c r="J11" s="1">
        <f>C$8*F11</f>
        <v>152.79331732748628</v>
      </c>
      <c r="K11" s="27">
        <f>J11/A11</f>
        <v>152.79331732748628</v>
      </c>
    </row>
    <row r="12" spans="1:11" x14ac:dyDescent="0.3">
      <c r="A12" s="1">
        <v>2</v>
      </c>
      <c r="B12" s="1">
        <f>B11+C$7</f>
        <v>80</v>
      </c>
      <c r="C12" s="87">
        <f>C$5*B12/100</f>
        <v>3.2000000000000001E-2</v>
      </c>
      <c r="D12" s="87"/>
      <c r="E12" s="87"/>
      <c r="F12" s="87">
        <f>F$11+C12</f>
        <v>0.66635585517082885</v>
      </c>
      <c r="G12" s="87"/>
      <c r="H12" s="27">
        <f t="shared" ref="H12:H15" si="0">F12/A12</f>
        <v>0.33317792758541442</v>
      </c>
      <c r="I12" s="1">
        <f>C$6*B12</f>
        <v>8</v>
      </c>
      <c r="J12" s="1">
        <f>F12*(I12+J$11)</f>
        <v>107.14556847351157</v>
      </c>
      <c r="K12" s="27">
        <f t="shared" ref="K12:K15" si="1">J12/A12</f>
        <v>53.572784236755787</v>
      </c>
    </row>
    <row r="13" spans="1:11" x14ac:dyDescent="0.3">
      <c r="A13" s="1">
        <v>3</v>
      </c>
      <c r="B13" s="1">
        <f t="shared" ref="B13:B15" si="2">B12+C$7</f>
        <v>160</v>
      </c>
      <c r="C13" s="87">
        <f>C$5*B13/100</f>
        <v>6.4000000000000001E-2</v>
      </c>
      <c r="D13" s="87"/>
      <c r="E13" s="87"/>
      <c r="F13" s="87">
        <f t="shared" ref="F13:F15" si="3">F$11+C13</f>
        <v>0.69835585517082888</v>
      </c>
      <c r="G13" s="87"/>
      <c r="H13" s="27">
        <f t="shared" si="0"/>
        <v>0.23278528505694296</v>
      </c>
      <c r="I13" s="1">
        <f t="shared" ref="I13:I15" si="4">C$6*B13</f>
        <v>16</v>
      </c>
      <c r="J13" s="1">
        <f t="shared" ref="J13:J15" si="5">F13*(I13+J$11)</f>
        <v>117.87780146935776</v>
      </c>
      <c r="K13" s="27">
        <f t="shared" si="1"/>
        <v>39.292600489785919</v>
      </c>
    </row>
    <row r="14" spans="1:11" x14ac:dyDescent="0.3">
      <c r="A14" s="1">
        <v>4</v>
      </c>
      <c r="B14" s="1">
        <f t="shared" si="2"/>
        <v>240</v>
      </c>
      <c r="C14" s="87">
        <f>C$5*B14/100</f>
        <v>9.6000000000000002E-2</v>
      </c>
      <c r="D14" s="87"/>
      <c r="E14" s="87"/>
      <c r="F14" s="87">
        <f t="shared" si="3"/>
        <v>0.73035585517082879</v>
      </c>
      <c r="G14" s="87"/>
      <c r="H14" s="27">
        <f t="shared" si="0"/>
        <v>0.1825889637927072</v>
      </c>
      <c r="I14" s="1">
        <f t="shared" si="4"/>
        <v>24</v>
      </c>
      <c r="J14" s="1">
        <f t="shared" si="5"/>
        <v>129.12203446520394</v>
      </c>
      <c r="K14" s="27">
        <f t="shared" si="1"/>
        <v>32.280508616300985</v>
      </c>
    </row>
    <row r="15" spans="1:11" x14ac:dyDescent="0.3">
      <c r="A15" s="1">
        <v>5</v>
      </c>
      <c r="B15" s="1">
        <f t="shared" si="2"/>
        <v>320</v>
      </c>
      <c r="C15" s="87">
        <f>C$5*B15/100</f>
        <v>0.128</v>
      </c>
      <c r="D15" s="87"/>
      <c r="E15" s="87"/>
      <c r="F15" s="87">
        <f t="shared" si="3"/>
        <v>0.76235585517082882</v>
      </c>
      <c r="G15" s="87"/>
      <c r="H15" s="27">
        <f t="shared" si="0"/>
        <v>0.15247117103416577</v>
      </c>
      <c r="I15" s="1">
        <f t="shared" si="4"/>
        <v>32</v>
      </c>
      <c r="J15" s="1">
        <f t="shared" si="5"/>
        <v>140.87826746105014</v>
      </c>
      <c r="K15" s="27">
        <f t="shared" si="1"/>
        <v>28.175653492210028</v>
      </c>
    </row>
    <row r="16" spans="1:11" x14ac:dyDescent="0.3">
      <c r="A16" s="86" t="s">
        <v>121</v>
      </c>
      <c r="B16" s="86"/>
      <c r="C16" s="86"/>
      <c r="D16" s="86"/>
      <c r="E16" s="86"/>
      <c r="F16" s="86"/>
      <c r="G16" s="86"/>
      <c r="H16" s="86"/>
      <c r="I16" s="86"/>
      <c r="J16" s="86"/>
      <c r="K16" s="86"/>
    </row>
    <row r="17" spans="1:11" x14ac:dyDescent="0.3">
      <c r="A17" s="1">
        <v>1</v>
      </c>
      <c r="B17" s="1">
        <v>0</v>
      </c>
      <c r="C17" s="87">
        <f>C$5*B17/100</f>
        <v>0</v>
      </c>
      <c r="D17" s="87"/>
      <c r="E17" s="87"/>
      <c r="F17" s="93">
        <f>'Passenger transport data'!D8</f>
        <v>0.40225253042038889</v>
      </c>
      <c r="G17" s="93"/>
      <c r="H17" s="27">
        <f>F17/A17</f>
        <v>0.40225253042038889</v>
      </c>
      <c r="I17" s="1">
        <v>0</v>
      </c>
      <c r="J17" s="1">
        <f>C$8*F17</f>
        <v>96.888044817928787</v>
      </c>
      <c r="K17" s="27">
        <f>J17/A17</f>
        <v>96.888044817928787</v>
      </c>
    </row>
    <row r="18" spans="1:11" x14ac:dyDescent="0.3">
      <c r="A18" s="1">
        <v>2</v>
      </c>
      <c r="B18" s="1">
        <f>C7+B17</f>
        <v>80</v>
      </c>
      <c r="C18" s="87">
        <f>C$5*B18/100</f>
        <v>3.2000000000000001E-2</v>
      </c>
      <c r="D18" s="87"/>
      <c r="E18" s="87"/>
      <c r="F18" s="87">
        <f>F17+C18</f>
        <v>0.43425253042038892</v>
      </c>
      <c r="G18" s="87"/>
      <c r="H18" s="27">
        <f>F18/A18</f>
        <v>0.21712626521019446</v>
      </c>
      <c r="I18" s="1">
        <f>C6*B18</f>
        <v>8</v>
      </c>
      <c r="J18" s="1">
        <f>F18*(I18+J17)</f>
        <v>45.547898873032736</v>
      </c>
      <c r="K18" s="27">
        <f>J18/A18</f>
        <v>22.773949436516368</v>
      </c>
    </row>
    <row r="19" spans="1:11" x14ac:dyDescent="0.3">
      <c r="A19" s="86" t="s">
        <v>87</v>
      </c>
      <c r="B19" s="86"/>
      <c r="C19" s="86"/>
      <c r="D19" s="86"/>
      <c r="E19" s="86"/>
      <c r="F19" s="86"/>
      <c r="G19" s="86"/>
      <c r="H19" s="86"/>
      <c r="I19" s="86"/>
      <c r="J19" s="86"/>
      <c r="K19" s="86"/>
    </row>
    <row r="20" spans="1:11" x14ac:dyDescent="0.3">
      <c r="A20" s="1">
        <v>1</v>
      </c>
      <c r="B20" s="1">
        <v>0</v>
      </c>
      <c r="C20" s="88">
        <f>B20*C$5/100</f>
        <v>0</v>
      </c>
      <c r="D20" s="89"/>
      <c r="E20" s="90"/>
      <c r="F20" s="94">
        <f>'Passenger transport data'!D13</f>
        <v>6.0620280525191834</v>
      </c>
      <c r="G20" s="95"/>
      <c r="H20" s="30">
        <f>F20/A20</f>
        <v>6.0620280525191834</v>
      </c>
      <c r="I20" s="1">
        <v>0</v>
      </c>
      <c r="J20" s="1">
        <f>C$8*F20</f>
        <v>1460.122687174151</v>
      </c>
      <c r="K20" s="1">
        <f>J20/A20</f>
        <v>1460.122687174151</v>
      </c>
    </row>
    <row r="21" spans="1:11" x14ac:dyDescent="0.3">
      <c r="A21" s="18">
        <f>'Passenger transport data'!H5</f>
        <v>6.0806216666746602</v>
      </c>
      <c r="B21" s="1">
        <f>C$7*A21</f>
        <v>486.4497333339728</v>
      </c>
      <c r="C21" s="88">
        <f>B21*C$5/100</f>
        <v>0.19457989333358913</v>
      </c>
      <c r="D21" s="89"/>
      <c r="E21" s="90"/>
      <c r="F21" s="96">
        <f>F$20+C21</f>
        <v>6.2566079458527728</v>
      </c>
      <c r="G21" s="97"/>
      <c r="H21" s="27">
        <f t="shared" ref="H21:H23" si="6">F21/A21</f>
        <v>1.0289421524352715</v>
      </c>
      <c r="I21" s="1">
        <f>C$6*B21</f>
        <v>48.644973333397282</v>
      </c>
      <c r="J21" s="1">
        <f>F21*(I21+J$20)</f>
        <v>9439.7677331772247</v>
      </c>
      <c r="K21" s="27">
        <f t="shared" ref="K21:K23" si="7">J21/A21</f>
        <v>1552.4346441273656</v>
      </c>
    </row>
    <row r="22" spans="1:11" x14ac:dyDescent="0.3">
      <c r="A22" s="18">
        <f>'Passenger transport data'!I5</f>
        <v>19.121451781995788</v>
      </c>
      <c r="B22" s="1">
        <f t="shared" ref="B22:B23" si="8">C$7*A22</f>
        <v>1529.716142559663</v>
      </c>
      <c r="C22" s="88">
        <f t="shared" ref="C22:C23" si="9">B22*C$5/100</f>
        <v>0.61188645702386524</v>
      </c>
      <c r="D22" s="89"/>
      <c r="E22" s="90"/>
      <c r="F22" s="88">
        <f>F$20+C22</f>
        <v>6.6739145095430485</v>
      </c>
      <c r="G22" s="90"/>
      <c r="H22" s="27">
        <f t="shared" si="6"/>
        <v>0.34902760447441628</v>
      </c>
      <c r="I22" s="1">
        <f t="shared" ref="I22:I23" si="10">C$6*B22</f>
        <v>152.9716142559663</v>
      </c>
      <c r="J22" s="1">
        <f t="shared" ref="J22:J23" si="11">F22*(I22+J$20)</f>
        <v>10765.653463575669</v>
      </c>
      <c r="K22" s="27">
        <f t="shared" si="7"/>
        <v>563.01443981948591</v>
      </c>
    </row>
    <row r="23" spans="1:11" x14ac:dyDescent="0.3">
      <c r="A23" s="18">
        <f>'Passenger transport data'!J5</f>
        <v>32.162281897316909</v>
      </c>
      <c r="B23" s="1">
        <f t="shared" si="8"/>
        <v>2572.9825517853528</v>
      </c>
      <c r="C23" s="88">
        <f t="shared" si="9"/>
        <v>1.0291930207141411</v>
      </c>
      <c r="D23" s="89"/>
      <c r="E23" s="90"/>
      <c r="F23" s="88">
        <f t="shared" ref="F23" si="12">F$20+C23</f>
        <v>7.0912210732333243</v>
      </c>
      <c r="G23" s="90"/>
      <c r="H23" s="27">
        <f t="shared" si="6"/>
        <v>0.22048252346873742</v>
      </c>
      <c r="I23" s="1">
        <f t="shared" si="10"/>
        <v>257.29825517853527</v>
      </c>
      <c r="J23" s="1">
        <f t="shared" si="11"/>
        <v>12178.611578023603</v>
      </c>
      <c r="K23" s="27">
        <f t="shared" si="7"/>
        <v>378.66130322797733</v>
      </c>
    </row>
    <row r="24" spans="1:11" x14ac:dyDescent="0.3">
      <c r="A24" t="s">
        <v>146</v>
      </c>
    </row>
    <row r="25" spans="1:11" x14ac:dyDescent="0.3">
      <c r="A25">
        <v>1</v>
      </c>
      <c r="B25" s="1">
        <v>0</v>
      </c>
      <c r="C25" s="88">
        <f>B25*C$5/100</f>
        <v>0</v>
      </c>
      <c r="D25" s="89"/>
      <c r="E25" s="90"/>
      <c r="F25" s="88">
        <f>'[3]Passenger transport data'!D25</f>
        <v>19.224390000000003</v>
      </c>
      <c r="G25" s="90"/>
      <c r="H25" s="30">
        <f>F25/A25</f>
        <v>19.224390000000003</v>
      </c>
      <c r="I25" s="1">
        <v>0</v>
      </c>
      <c r="J25" s="1">
        <f>F$8*F25</f>
        <v>5128.2982764000008</v>
      </c>
      <c r="K25" s="30">
        <f>J25/A25</f>
        <v>5128.2982764000008</v>
      </c>
    </row>
    <row r="26" spans="1:11" x14ac:dyDescent="0.3">
      <c r="A26" s="37">
        <f>'Passenger transport data'!H7</f>
        <v>101.76</v>
      </c>
      <c r="B26" s="1">
        <f>C$7*A26</f>
        <v>8140.8</v>
      </c>
      <c r="C26" s="88">
        <f>B26*C$5/100</f>
        <v>3.2563200000000001</v>
      </c>
      <c r="D26" s="89"/>
      <c r="E26" s="90"/>
      <c r="F26" s="91">
        <f>F$25+C26</f>
        <v>22.480710000000002</v>
      </c>
      <c r="G26" s="92"/>
      <c r="H26" s="27">
        <f t="shared" ref="H26:H28" si="13">F26/A26</f>
        <v>0.22091892688679246</v>
      </c>
      <c r="I26" s="1">
        <f>C$6*B26</f>
        <v>814.08</v>
      </c>
      <c r="J26" s="1">
        <f>F26*(I26+J$25)</f>
        <v>133588.88274204827</v>
      </c>
      <c r="K26" s="27">
        <f t="shared" ref="K26:K28" si="14">J26/A26</f>
        <v>1312.7838319776756</v>
      </c>
    </row>
    <row r="27" spans="1:11" x14ac:dyDescent="0.3">
      <c r="A27" s="37">
        <f>'Passenger transport data'!I7</f>
        <v>320</v>
      </c>
      <c r="B27" s="1">
        <f t="shared" ref="B27" si="15">C$7*A27</f>
        <v>25600</v>
      </c>
      <c r="C27" s="88">
        <f t="shared" ref="C27:C28" si="16">B27*C$5/100</f>
        <v>10.24</v>
      </c>
      <c r="D27" s="89"/>
      <c r="E27" s="90"/>
      <c r="F27" s="91">
        <f t="shared" ref="F27:F28" si="17">F$25+C27</f>
        <v>29.464390000000002</v>
      </c>
      <c r="G27" s="92"/>
      <c r="H27" s="27">
        <f t="shared" si="13"/>
        <v>9.2076218750000008E-2</v>
      </c>
      <c r="I27" s="1">
        <f t="shared" ref="I27" si="18">C$6*B27</f>
        <v>2560</v>
      </c>
      <c r="J27" s="1">
        <f t="shared" ref="J27:J28" si="19">F27*(I27+J$25)</f>
        <v>226531.01885217743</v>
      </c>
      <c r="K27" s="27">
        <f t="shared" si="14"/>
        <v>707.9094339130545</v>
      </c>
    </row>
    <row r="28" spans="1:11" x14ac:dyDescent="0.3">
      <c r="A28" s="37">
        <f>'Passenger transport data'!J7</f>
        <v>538.24</v>
      </c>
      <c r="B28" s="1">
        <f>C$7*A28</f>
        <v>43059.199999999997</v>
      </c>
      <c r="C28" s="88">
        <f t="shared" si="16"/>
        <v>17.223679999999998</v>
      </c>
      <c r="D28" s="89"/>
      <c r="E28" s="90"/>
      <c r="F28" s="91">
        <f t="shared" si="17"/>
        <v>36.448070000000001</v>
      </c>
      <c r="G28" s="92"/>
      <c r="H28" s="27">
        <f t="shared" si="13"/>
        <v>6.7717133620689651E-2</v>
      </c>
      <c r="I28" s="1">
        <f>C$6*B28</f>
        <v>4305.92</v>
      </c>
      <c r="J28" s="1">
        <f t="shared" si="19"/>
        <v>343859.04813350661</v>
      </c>
      <c r="K28" s="27">
        <f t="shared" si="14"/>
        <v>638.85821962973137</v>
      </c>
    </row>
  </sheetData>
  <mergeCells count="39">
    <mergeCell ref="C28:E28"/>
    <mergeCell ref="F28:G28"/>
    <mergeCell ref="C25:E25"/>
    <mergeCell ref="F25:G25"/>
    <mergeCell ref="C26:E26"/>
    <mergeCell ref="F26:G26"/>
    <mergeCell ref="C27:E27"/>
    <mergeCell ref="F27:G27"/>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76" t="s">
        <v>123</v>
      </c>
      <c r="C2" s="77"/>
      <c r="D2" s="77"/>
      <c r="E2" s="77"/>
      <c r="F2" s="77"/>
      <c r="G2" s="78"/>
    </row>
    <row r="3" spans="1:11" x14ac:dyDescent="0.3">
      <c r="B3" s="19" t="s">
        <v>104</v>
      </c>
      <c r="C3" s="8"/>
      <c r="D3" s="8"/>
      <c r="E3" s="8"/>
      <c r="F3" s="8"/>
      <c r="G3" s="20"/>
    </row>
    <row r="4" spans="1:11" x14ac:dyDescent="0.3">
      <c r="B4" s="79" t="s">
        <v>106</v>
      </c>
      <c r="C4" s="8">
        <f>0.85/100</f>
        <v>8.5000000000000006E-3</v>
      </c>
      <c r="D4" s="8" t="s">
        <v>86</v>
      </c>
      <c r="E4" s="98" t="s">
        <v>112</v>
      </c>
      <c r="F4" s="23" t="s">
        <v>132</v>
      </c>
      <c r="G4" s="24"/>
    </row>
    <row r="5" spans="1:11" x14ac:dyDescent="0.3">
      <c r="B5" s="79"/>
      <c r="C5" s="8"/>
      <c r="D5" s="8"/>
      <c r="E5" s="98"/>
      <c r="F5" s="9" t="s">
        <v>133</v>
      </c>
      <c r="G5" s="20"/>
    </row>
    <row r="6" spans="1:11" x14ac:dyDescent="0.3">
      <c r="B6" s="79"/>
      <c r="C6" s="8">
        <f>2.8/100</f>
        <v>2.7999999999999997E-2</v>
      </c>
      <c r="D6" s="8" t="s">
        <v>66</v>
      </c>
      <c r="E6" s="98"/>
      <c r="F6" s="9">
        <f>'Transport c&amp;e fuel vehicles'!C8</f>
        <v>240.86372984819349</v>
      </c>
      <c r="G6" s="20" t="s">
        <v>108</v>
      </c>
    </row>
    <row r="7" spans="1:11" x14ac:dyDescent="0.3">
      <c r="B7" s="19" t="s">
        <v>110</v>
      </c>
      <c r="C7" s="8">
        <v>70</v>
      </c>
      <c r="D7" s="8" t="s">
        <v>111</v>
      </c>
      <c r="E7" s="98"/>
      <c r="F7" s="47" t="s">
        <v>134</v>
      </c>
      <c r="G7" s="81"/>
    </row>
    <row r="8" spans="1:11" ht="15" thickBot="1" x14ac:dyDescent="0.35">
      <c r="A8" s="84" t="s">
        <v>109</v>
      </c>
      <c r="B8" s="21" t="s">
        <v>131</v>
      </c>
      <c r="C8" s="25">
        <f>'Passenger transport data'!D17*10^3</f>
        <v>55</v>
      </c>
      <c r="D8" s="22" t="s">
        <v>108</v>
      </c>
      <c r="E8" s="22"/>
      <c r="F8" s="82"/>
      <c r="G8" s="83"/>
    </row>
    <row r="9" spans="1:11" x14ac:dyDescent="0.3">
      <c r="A9" s="56"/>
      <c r="B9" s="11" t="s">
        <v>113</v>
      </c>
      <c r="C9" s="85" t="s">
        <v>130</v>
      </c>
      <c r="D9" s="85"/>
      <c r="E9" s="85"/>
      <c r="F9" s="85" t="s">
        <v>129</v>
      </c>
      <c r="G9" s="85"/>
      <c r="H9" s="1" t="s">
        <v>128</v>
      </c>
      <c r="I9" s="1" t="s">
        <v>118</v>
      </c>
      <c r="J9" s="1" t="s">
        <v>119</v>
      </c>
      <c r="K9" s="1" t="s">
        <v>117</v>
      </c>
    </row>
    <row r="10" spans="1:11" x14ac:dyDescent="0.3">
      <c r="A10" s="86" t="s">
        <v>88</v>
      </c>
      <c r="B10" s="86"/>
      <c r="C10" s="86"/>
      <c r="D10" s="86"/>
      <c r="E10" s="86"/>
      <c r="F10" s="86"/>
      <c r="G10" s="86"/>
      <c r="H10" s="86"/>
      <c r="I10" s="86"/>
      <c r="J10" s="86"/>
      <c r="K10" s="86"/>
    </row>
    <row r="11" spans="1:11" x14ac:dyDescent="0.3">
      <c r="A11" s="1">
        <v>1</v>
      </c>
      <c r="B11" s="1">
        <v>0</v>
      </c>
      <c r="C11" s="87">
        <f>C$4*B11/100</f>
        <v>0</v>
      </c>
      <c r="D11" s="87"/>
      <c r="E11" s="87"/>
      <c r="F11" s="93">
        <f>'Passenger transport data'!D12</f>
        <v>0.32394732984318231</v>
      </c>
      <c r="G11" s="93"/>
      <c r="H11" s="27">
        <f>F11/A11</f>
        <v>0.32394732984318231</v>
      </c>
      <c r="I11" s="1">
        <v>0</v>
      </c>
      <c r="J11" s="1">
        <f>C$8*F11</f>
        <v>17.817103141375028</v>
      </c>
      <c r="K11" s="27">
        <f>J11/A11</f>
        <v>17.817103141375028</v>
      </c>
    </row>
    <row r="12" spans="1:11" x14ac:dyDescent="0.3">
      <c r="A12" s="1">
        <v>2</v>
      </c>
      <c r="B12" s="1">
        <f>B11+C$7</f>
        <v>70</v>
      </c>
      <c r="C12" s="87">
        <f t="shared" ref="C12:C15" si="0">C$4*B12/100</f>
        <v>5.9500000000000004E-3</v>
      </c>
      <c r="D12" s="87"/>
      <c r="E12" s="87"/>
      <c r="F12" s="87">
        <f>F$11+C12</f>
        <v>0.32989732984318232</v>
      </c>
      <c r="G12" s="87"/>
      <c r="H12" s="27">
        <f t="shared" ref="H12:H15" si="1">F12/A12</f>
        <v>0.16494866492159116</v>
      </c>
      <c r="I12" s="1">
        <f>C$6*B12</f>
        <v>1.9599999999999997</v>
      </c>
      <c r="J12" s="1">
        <f>F12*(I12+J$11)</f>
        <v>6.5244135183728353</v>
      </c>
      <c r="K12" s="27">
        <f t="shared" ref="K12:K15" si="2">J12/A12</f>
        <v>3.2622067591864177</v>
      </c>
    </row>
    <row r="13" spans="1:11" x14ac:dyDescent="0.3">
      <c r="A13" s="1">
        <v>3</v>
      </c>
      <c r="B13" s="1">
        <f t="shared" ref="B13:B15" si="3">B12+C$7</f>
        <v>140</v>
      </c>
      <c r="C13" s="87">
        <f t="shared" si="0"/>
        <v>1.1900000000000001E-2</v>
      </c>
      <c r="D13" s="87"/>
      <c r="E13" s="87"/>
      <c r="F13" s="87">
        <f t="shared" ref="F13:F15" si="4">F$11+C13</f>
        <v>0.33584732984318233</v>
      </c>
      <c r="G13" s="87"/>
      <c r="H13" s="27">
        <f t="shared" si="1"/>
        <v>0.11194910994772744</v>
      </c>
      <c r="I13" s="1">
        <f t="shared" ref="I13:I15" si="5">C$6*B13</f>
        <v>3.9199999999999995</v>
      </c>
      <c r="J13" s="1">
        <f t="shared" ref="J13:J15" si="6">F13*(I13+J$11)</f>
        <v>7.3003480485566534</v>
      </c>
      <c r="K13" s="27">
        <f t="shared" si="2"/>
        <v>2.4334493495188845</v>
      </c>
    </row>
    <row r="14" spans="1:11" x14ac:dyDescent="0.3">
      <c r="A14" s="1">
        <v>4</v>
      </c>
      <c r="B14" s="1">
        <f t="shared" si="3"/>
        <v>210</v>
      </c>
      <c r="C14" s="87">
        <f t="shared" si="0"/>
        <v>1.7850000000000001E-2</v>
      </c>
      <c r="D14" s="87"/>
      <c r="E14" s="87"/>
      <c r="F14" s="87">
        <f t="shared" si="4"/>
        <v>0.34179732984318228</v>
      </c>
      <c r="G14" s="87"/>
      <c r="H14" s="27">
        <f t="shared" si="1"/>
        <v>8.5449332460795571E-2</v>
      </c>
      <c r="I14" s="1">
        <f t="shared" si="5"/>
        <v>5.879999999999999</v>
      </c>
      <c r="J14" s="1">
        <f t="shared" si="6"/>
        <v>8.0996065787404721</v>
      </c>
      <c r="K14" s="27">
        <f t="shared" si="2"/>
        <v>2.024901644685118</v>
      </c>
    </row>
    <row r="15" spans="1:11" x14ac:dyDescent="0.3">
      <c r="A15" s="1">
        <v>5</v>
      </c>
      <c r="B15" s="1">
        <f t="shared" si="3"/>
        <v>280</v>
      </c>
      <c r="C15" s="87">
        <f t="shared" si="0"/>
        <v>2.3800000000000002E-2</v>
      </c>
      <c r="D15" s="87"/>
      <c r="E15" s="87"/>
      <c r="F15" s="87">
        <f t="shared" si="4"/>
        <v>0.3477473298431823</v>
      </c>
      <c r="G15" s="87"/>
      <c r="H15" s="27">
        <f t="shared" si="1"/>
        <v>6.9549465968636454E-2</v>
      </c>
      <c r="I15" s="1">
        <f t="shared" si="5"/>
        <v>7.839999999999999</v>
      </c>
      <c r="J15" s="1">
        <f t="shared" si="6"/>
        <v>8.9221891089242913</v>
      </c>
      <c r="K15" s="27">
        <f t="shared" si="2"/>
        <v>1.7844378217848582</v>
      </c>
    </row>
    <row r="16" spans="1:11" x14ac:dyDescent="0.3">
      <c r="A16" s="99" t="s">
        <v>89</v>
      </c>
      <c r="B16" s="100"/>
      <c r="C16" s="100"/>
      <c r="D16" s="100"/>
      <c r="E16" s="100"/>
      <c r="F16" s="100"/>
      <c r="G16" s="100"/>
      <c r="H16" s="100"/>
      <c r="I16" s="100"/>
      <c r="J16" s="100"/>
      <c r="K16" s="101"/>
    </row>
    <row r="17" spans="1:11" x14ac:dyDescent="0.3">
      <c r="A17" s="1">
        <v>1</v>
      </c>
      <c r="B17" s="1">
        <v>0</v>
      </c>
      <c r="C17" s="88">
        <f>B17*(0.5*C$4+0.5*'Transport c&amp;e fuel vehicles'!C$5)/100</f>
        <v>0</v>
      </c>
      <c r="D17" s="89"/>
      <c r="E17" s="90"/>
      <c r="F17" s="94">
        <f>'Passenger transport data'!D11</f>
        <v>0.38307489509385012</v>
      </c>
      <c r="G17" s="95"/>
      <c r="H17" s="27">
        <f>F17/A17</f>
        <v>0.38307489509385012</v>
      </c>
      <c r="I17" s="1">
        <v>0</v>
      </c>
      <c r="J17" s="1">
        <f>F17*(0.5*C$8+0.5*F$6)</f>
        <v>56.668983636835968</v>
      </c>
      <c r="K17" s="27">
        <f>J17/A17</f>
        <v>56.668983636835968</v>
      </c>
    </row>
    <row r="18" spans="1:11" x14ac:dyDescent="0.3">
      <c r="A18" s="1">
        <v>2</v>
      </c>
      <c r="B18" s="1">
        <f>C$7+B17</f>
        <v>70</v>
      </c>
      <c r="C18" s="88">
        <f>B18*(0.5*C$4+0.5*'Transport c&amp;e fuel vehicles'!C$5)/100</f>
        <v>1.6975000000000001E-2</v>
      </c>
      <c r="D18" s="89"/>
      <c r="E18" s="90"/>
      <c r="F18" s="88">
        <f>F$17+C18</f>
        <v>0.40004989509385014</v>
      </c>
      <c r="G18" s="90"/>
      <c r="H18" s="27">
        <f t="shared" ref="H18:H21" si="7">F18/A18</f>
        <v>0.20002494754692507</v>
      </c>
      <c r="I18" s="1">
        <f>B18*(0.5*C$6+0.5*'Transport c&amp;e fuel vehicles'!C$6)/100</f>
        <v>4.4800000000000006E-2</v>
      </c>
      <c r="J18" s="1">
        <f>F18*(I18+J$17)</f>
        <v>22.688343194291544</v>
      </c>
      <c r="K18" s="27">
        <f t="shared" ref="K18:K21" si="8">J18/A18</f>
        <v>11.344171597145772</v>
      </c>
    </row>
    <row r="19" spans="1:11" x14ac:dyDescent="0.3">
      <c r="A19" s="1">
        <v>3</v>
      </c>
      <c r="B19" s="1">
        <f t="shared" ref="B19:B21" si="9">C$7+B18</f>
        <v>140</v>
      </c>
      <c r="C19" s="88">
        <f>B19*(0.5*C$4+0.5*'Transport c&amp;e fuel vehicles'!C$5)/100</f>
        <v>3.3950000000000001E-2</v>
      </c>
      <c r="D19" s="89"/>
      <c r="E19" s="90"/>
      <c r="F19" s="88">
        <f t="shared" ref="F19:F21" si="10">F$17+C19</f>
        <v>0.4170248950938501</v>
      </c>
      <c r="G19" s="90"/>
      <c r="H19" s="27">
        <f t="shared" si="7"/>
        <v>0.1390082983646167</v>
      </c>
      <c r="I19" s="1">
        <f>B19*(0.5*C$6+0.5*'Transport c&amp;e fuel vehicles'!C$6)/100</f>
        <v>8.9600000000000013E-2</v>
      </c>
      <c r="J19" s="1">
        <f t="shared" ref="J19:J21" si="11">F19*(I19+J$17)</f>
        <v>23.669742386827036</v>
      </c>
      <c r="K19" s="27">
        <f t="shared" si="8"/>
        <v>7.8899141289423449</v>
      </c>
    </row>
    <row r="20" spans="1:11" x14ac:dyDescent="0.3">
      <c r="A20" s="1">
        <v>4</v>
      </c>
      <c r="B20" s="1">
        <f t="shared" si="9"/>
        <v>210</v>
      </c>
      <c r="C20" s="88">
        <f>B20*(0.5*C$4+0.5*'Transport c&amp;e fuel vehicles'!C$5)/100</f>
        <v>5.0925000000000005E-2</v>
      </c>
      <c r="D20" s="89"/>
      <c r="E20" s="90"/>
      <c r="F20" s="88">
        <f t="shared" si="10"/>
        <v>0.43399989509385012</v>
      </c>
      <c r="G20" s="90"/>
      <c r="H20" s="27">
        <f t="shared" si="7"/>
        <v>0.10849997377346253</v>
      </c>
      <c r="I20" s="1">
        <f>B20*(0.5*C$6+0.5*'Transport c&amp;e fuel vehicles'!C$6)/100</f>
        <v>0.13439999999999999</v>
      </c>
      <c r="J20" s="1">
        <f t="shared" si="11"/>
        <v>24.652662539362531</v>
      </c>
      <c r="K20" s="27">
        <f t="shared" si="8"/>
        <v>6.1631656348406327</v>
      </c>
    </row>
    <row r="21" spans="1:11" x14ac:dyDescent="0.3">
      <c r="A21" s="1">
        <v>5</v>
      </c>
      <c r="B21" s="1">
        <f t="shared" si="9"/>
        <v>280</v>
      </c>
      <c r="C21" s="88">
        <f>B21*(0.5*C$4+0.5*'Transport c&amp;e fuel vehicles'!C$5)/100</f>
        <v>6.7900000000000002E-2</v>
      </c>
      <c r="D21" s="89"/>
      <c r="E21" s="90"/>
      <c r="F21" s="88">
        <f t="shared" si="10"/>
        <v>0.45097489509385014</v>
      </c>
      <c r="G21" s="90"/>
      <c r="H21" s="27">
        <f t="shared" si="7"/>
        <v>9.0194979018770022E-2</v>
      </c>
      <c r="I21" s="1">
        <f>B21*(0.5*C$6+0.5*'Transport c&amp;e fuel vehicles'!C$6)/100</f>
        <v>0.17920000000000003</v>
      </c>
      <c r="J21" s="1">
        <f t="shared" si="11"/>
        <v>25.63710365189803</v>
      </c>
      <c r="K21" s="27">
        <f t="shared" si="8"/>
        <v>5.1274207303796064</v>
      </c>
    </row>
    <row r="22" spans="1:11" x14ac:dyDescent="0.3">
      <c r="A22" s="86" t="s">
        <v>124</v>
      </c>
      <c r="B22" s="86"/>
      <c r="C22" s="86"/>
      <c r="D22" s="86"/>
      <c r="E22" s="86"/>
      <c r="F22" s="86"/>
      <c r="G22" s="86"/>
      <c r="H22" s="86"/>
      <c r="I22" s="86"/>
      <c r="J22" s="86"/>
      <c r="K22" s="86"/>
    </row>
    <row r="23" spans="1:11" x14ac:dyDescent="0.3">
      <c r="A23" s="1">
        <v>1</v>
      </c>
      <c r="B23" s="1">
        <v>0</v>
      </c>
      <c r="C23" s="87">
        <f>C$5*B23/100</f>
        <v>0</v>
      </c>
      <c r="D23" s="87"/>
      <c r="E23" s="87"/>
      <c r="F23" s="93">
        <f>'electric veh relation'!F8</f>
        <v>0.13108566370398539</v>
      </c>
      <c r="G23" s="93"/>
      <c r="H23" s="27">
        <f>F23/A23</f>
        <v>0.13108566370398539</v>
      </c>
      <c r="I23" s="1">
        <v>0</v>
      </c>
      <c r="J23" s="1">
        <f>C$8*F23</f>
        <v>7.2097115037191966</v>
      </c>
      <c r="K23" s="27">
        <f>J23/A23</f>
        <v>7.2097115037191966</v>
      </c>
    </row>
    <row r="24" spans="1:11" x14ac:dyDescent="0.3">
      <c r="A24" s="1">
        <v>2</v>
      </c>
      <c r="B24" s="1">
        <f>C7+B23</f>
        <v>70</v>
      </c>
      <c r="C24" s="87">
        <f>C$5*B24/100</f>
        <v>0</v>
      </c>
      <c r="D24" s="87"/>
      <c r="E24" s="87"/>
      <c r="F24" s="87">
        <f>F23+C24</f>
        <v>0.13108566370398539</v>
      </c>
      <c r="G24" s="87"/>
      <c r="H24" s="27">
        <f>F24/A24</f>
        <v>6.5542831851992694E-2</v>
      </c>
      <c r="I24" s="1">
        <f>C6*B24</f>
        <v>1.9599999999999997</v>
      </c>
      <c r="J24" s="1">
        <f>F24*(I24+J23)</f>
        <v>1.2020177184391005</v>
      </c>
      <c r="K24" s="27">
        <f>J24/A24</f>
        <v>0.60100885921955027</v>
      </c>
    </row>
    <row r="25" spans="1:11" x14ac:dyDescent="0.3">
      <c r="A25" s="99" t="s">
        <v>125</v>
      </c>
      <c r="B25" s="100"/>
      <c r="C25" s="100"/>
      <c r="D25" s="100"/>
      <c r="E25" s="100"/>
      <c r="F25" s="100"/>
      <c r="G25" s="100"/>
      <c r="H25" s="100"/>
      <c r="I25" s="100"/>
      <c r="J25" s="100"/>
      <c r="K25" s="101"/>
    </row>
    <row r="26" spans="1:11" x14ac:dyDescent="0.3">
      <c r="A26" s="1">
        <v>1</v>
      </c>
      <c r="B26" s="1">
        <v>0</v>
      </c>
      <c r="C26" s="88">
        <f>C$4*B26/100</f>
        <v>0</v>
      </c>
      <c r="D26" s="89"/>
      <c r="E26" s="90"/>
      <c r="F26" s="94">
        <f>'electric veh relation'!F9</f>
        <v>1.1771341927441219E-2</v>
      </c>
      <c r="G26" s="95"/>
      <c r="H26" s="27">
        <f>F26/A26</f>
        <v>1.1771341927441219E-2</v>
      </c>
      <c r="I26" s="1">
        <v>0</v>
      </c>
      <c r="J26" s="1">
        <f>C$8*F26</f>
        <v>0.64742380600926708</v>
      </c>
      <c r="K26" s="27">
        <f>J26/A26</f>
        <v>0.64742380600926708</v>
      </c>
    </row>
    <row r="27" spans="1:11" x14ac:dyDescent="0.3">
      <c r="A27" s="99" t="s">
        <v>126</v>
      </c>
      <c r="B27" s="100"/>
      <c r="C27" s="100"/>
      <c r="D27" s="100"/>
      <c r="E27" s="100"/>
      <c r="F27" s="100"/>
      <c r="G27" s="100"/>
      <c r="H27" s="100"/>
      <c r="I27" s="100"/>
      <c r="J27" s="100"/>
      <c r="K27" s="101"/>
    </row>
    <row r="28" spans="1:11" x14ac:dyDescent="0.3">
      <c r="A28" s="1">
        <v>1</v>
      </c>
      <c r="B28" s="1">
        <v>0</v>
      </c>
      <c r="C28" s="88">
        <f>C$4*B28/100</f>
        <v>0</v>
      </c>
      <c r="D28" s="89"/>
      <c r="E28" s="90"/>
      <c r="F28" s="94">
        <f>'electric veh relation'!F10</f>
        <v>2.5520269298692562E-2</v>
      </c>
      <c r="G28" s="95"/>
      <c r="H28" s="27">
        <f>F28/A28</f>
        <v>2.5520269298692562E-2</v>
      </c>
      <c r="I28" s="1">
        <v>0</v>
      </c>
      <c r="J28" s="1">
        <f>C$8*F28</f>
        <v>1.4036148114280909</v>
      </c>
      <c r="K28" s="27">
        <f>J28/A28</f>
        <v>1.4036148114280909</v>
      </c>
    </row>
    <row r="29" spans="1:11" x14ac:dyDescent="0.3">
      <c r="A29" s="99" t="s">
        <v>127</v>
      </c>
      <c r="B29" s="100"/>
      <c r="C29" s="100"/>
      <c r="D29" s="100"/>
      <c r="E29" s="100"/>
      <c r="F29" s="100"/>
      <c r="G29" s="100"/>
      <c r="H29" s="100"/>
      <c r="I29" s="100"/>
      <c r="J29" s="100"/>
      <c r="K29" s="101"/>
    </row>
    <row r="30" spans="1:11" x14ac:dyDescent="0.3">
      <c r="A30" s="1">
        <v>1</v>
      </c>
      <c r="B30" s="1">
        <v>0</v>
      </c>
      <c r="C30" s="88">
        <f>C$4*B30/100</f>
        <v>0</v>
      </c>
      <c r="D30" s="89"/>
      <c r="E30" s="90"/>
      <c r="F30" s="94">
        <f>'Passenger transport data'!D24</f>
        <v>5.581984383409142</v>
      </c>
      <c r="G30" s="95"/>
      <c r="H30" s="2">
        <f>F30/A30</f>
        <v>5.581984383409142</v>
      </c>
      <c r="I30" s="1">
        <v>0</v>
      </c>
      <c r="J30" s="1">
        <f>C$8*F30</f>
        <v>307.00914108750283</v>
      </c>
      <c r="K30" s="27">
        <f>J30/A30</f>
        <v>307.00914108750283</v>
      </c>
    </row>
    <row r="31" spans="1:11" x14ac:dyDescent="0.3">
      <c r="A31" s="18">
        <f>'Passenger transport data'!H6</f>
        <v>24.393023010116146</v>
      </c>
      <c r="B31" s="1">
        <f>C$7*A31</f>
        <v>1707.5116107081301</v>
      </c>
      <c r="C31" s="88">
        <f t="shared" ref="C31:C33" si="12">C$4*B31/100</f>
        <v>0.14513848691019107</v>
      </c>
      <c r="D31" s="89"/>
      <c r="E31" s="90"/>
      <c r="F31" s="88">
        <f>F$30+C31</f>
        <v>5.7271228703193335</v>
      </c>
      <c r="G31" s="90"/>
      <c r="H31" s="27">
        <f t="shared" ref="H31:H33" si="13">F31/A31</f>
        <v>0.23478528544593311</v>
      </c>
      <c r="I31" s="1">
        <f>C$6*B31</f>
        <v>47.810325099827637</v>
      </c>
      <c r="J31" s="1">
        <f>F31*(I31+J$30)</f>
        <v>2032.0946796359578</v>
      </c>
      <c r="K31" s="27">
        <f t="shared" ref="K31:K33" si="14">J31/A31</f>
        <v>83.30638965056599</v>
      </c>
    </row>
    <row r="32" spans="1:11" x14ac:dyDescent="0.3">
      <c r="A32" s="18">
        <f>'Passenger transport data'!I6</f>
        <v>76.707619528667124</v>
      </c>
      <c r="B32" s="1">
        <f>C$7*A32</f>
        <v>5369.5333670066984</v>
      </c>
      <c r="C32" s="88">
        <f t="shared" si="12"/>
        <v>0.45641033619556942</v>
      </c>
      <c r="D32" s="89"/>
      <c r="E32" s="90"/>
      <c r="F32" s="88">
        <f t="shared" ref="F32:F33" si="15">F$30+C32</f>
        <v>6.0383947196047112</v>
      </c>
      <c r="G32" s="90"/>
      <c r="H32" s="27">
        <f t="shared" si="13"/>
        <v>7.871962077180672E-2</v>
      </c>
      <c r="I32" s="1">
        <f t="shared" ref="I32:I33" si="16">C$6*B32</f>
        <v>150.34693427618754</v>
      </c>
      <c r="J32" s="1">
        <f t="shared" ref="J32:J33" si="17">F32*(I32+J$30)</f>
        <v>2761.6965104552423</v>
      </c>
      <c r="K32" s="27">
        <f t="shared" si="14"/>
        <v>36.002896810311562</v>
      </c>
    </row>
    <row r="33" spans="1:11" x14ac:dyDescent="0.3">
      <c r="A33" s="18">
        <f>'Passenger transport data'!J6</f>
        <v>129.02221604721811</v>
      </c>
      <c r="B33" s="1">
        <f>C$7*A33</f>
        <v>9031.5551233052684</v>
      </c>
      <c r="C33" s="88">
        <f t="shared" si="12"/>
        <v>0.7676821854809478</v>
      </c>
      <c r="D33" s="89"/>
      <c r="E33" s="90"/>
      <c r="F33" s="88">
        <f t="shared" si="15"/>
        <v>6.3496665688900897</v>
      </c>
      <c r="G33" s="90"/>
      <c r="H33" s="27">
        <f t="shared" si="13"/>
        <v>4.9213745999885088E-2</v>
      </c>
      <c r="I33" s="1">
        <f t="shared" si="16"/>
        <v>252.88354345254749</v>
      </c>
      <c r="J33" s="1">
        <f t="shared" si="17"/>
        <v>3555.1318611900829</v>
      </c>
      <c r="K33" s="27">
        <f t="shared" si="14"/>
        <v>27.554416364147826</v>
      </c>
    </row>
    <row r="34" spans="1:11" x14ac:dyDescent="0.3">
      <c r="A34" s="99" t="s">
        <v>102</v>
      </c>
      <c r="B34" s="100"/>
      <c r="C34" s="100"/>
      <c r="D34" s="100"/>
      <c r="E34" s="100"/>
      <c r="F34" s="100"/>
      <c r="G34" s="100"/>
      <c r="H34" s="100"/>
      <c r="I34" s="100"/>
      <c r="J34" s="100"/>
      <c r="K34" s="101"/>
    </row>
    <row r="35" spans="1:11" x14ac:dyDescent="0.3">
      <c r="A35" s="1">
        <v>1</v>
      </c>
      <c r="B35" s="1">
        <v>0</v>
      </c>
      <c r="C35" s="88">
        <f>C$4*B35/100</f>
        <v>0</v>
      </c>
      <c r="D35" s="89"/>
      <c r="E35" s="90"/>
      <c r="F35" s="94">
        <f>'Passenger transport data'!D26</f>
        <v>17.955064236560162</v>
      </c>
      <c r="G35" s="95"/>
      <c r="H35" s="2">
        <f>F35/A35</f>
        <v>17.955064236560162</v>
      </c>
      <c r="I35" s="1">
        <v>0</v>
      </c>
      <c r="J35" s="34">
        <f>C$8*F35</f>
        <v>987.52853301080893</v>
      </c>
      <c r="K35" s="27">
        <f>J35/A35</f>
        <v>987.52853301080893</v>
      </c>
    </row>
    <row r="36" spans="1:11" x14ac:dyDescent="0.3">
      <c r="A36" s="18">
        <f>'Passenger transport data'!H7</f>
        <v>101.76</v>
      </c>
      <c r="B36" s="1">
        <f>C$7*A36</f>
        <v>7123.2000000000007</v>
      </c>
      <c r="C36" s="88">
        <f t="shared" ref="C36:C38" si="18">C$4*B36/100</f>
        <v>0.60547200000000012</v>
      </c>
      <c r="D36" s="89"/>
      <c r="E36" s="90"/>
      <c r="F36" s="88">
        <f>F$35+C36</f>
        <v>18.560536236560161</v>
      </c>
      <c r="G36" s="90"/>
      <c r="H36" s="27">
        <f t="shared" ref="H36:H38" si="19">F36/A36</f>
        <v>0.18239520672720283</v>
      </c>
      <c r="I36" s="1">
        <f>C$6*B36</f>
        <v>199.4496</v>
      </c>
      <c r="J36" s="34">
        <f>F36*(I36+J$35)</f>
        <v>22030.950649751645</v>
      </c>
      <c r="K36" s="27">
        <f t="shared" ref="K36:K38" si="20">J36/A36</f>
        <v>216.49912195117574</v>
      </c>
    </row>
    <row r="37" spans="1:11" x14ac:dyDescent="0.3">
      <c r="A37" s="18">
        <f>'Passenger transport data'!I7</f>
        <v>320</v>
      </c>
      <c r="B37" s="1">
        <f t="shared" ref="B37:B38" si="21">C$7*A37</f>
        <v>22400</v>
      </c>
      <c r="C37" s="88">
        <f t="shared" si="18"/>
        <v>1.9040000000000001</v>
      </c>
      <c r="D37" s="89"/>
      <c r="E37" s="90"/>
      <c r="F37" s="88">
        <f t="shared" ref="F37:F38" si="22">F$35+C37</f>
        <v>19.859064236560162</v>
      </c>
      <c r="G37" s="90"/>
      <c r="H37" s="27">
        <f t="shared" si="19"/>
        <v>6.2059575739250507E-2</v>
      </c>
      <c r="I37" s="1">
        <f t="shared" ref="I37:I38" si="23">C$6*B37</f>
        <v>627.19999999999993</v>
      </c>
      <c r="J37" s="34">
        <f t="shared" ref="J37:J38" si="24">F37*(I37+J$35)</f>
        <v>32066.997661668207</v>
      </c>
      <c r="K37" s="27">
        <f t="shared" si="20"/>
        <v>100.20936769271314</v>
      </c>
    </row>
    <row r="38" spans="1:11" x14ac:dyDescent="0.3">
      <c r="A38" s="18">
        <f>'Passenger transport data'!J7</f>
        <v>538.24</v>
      </c>
      <c r="B38" s="1">
        <f t="shared" si="21"/>
        <v>37676.800000000003</v>
      </c>
      <c r="C38" s="88">
        <f t="shared" si="18"/>
        <v>3.2025280000000005</v>
      </c>
      <c r="D38" s="89"/>
      <c r="E38" s="90"/>
      <c r="F38" s="88">
        <f t="shared" si="22"/>
        <v>21.157592236560163</v>
      </c>
      <c r="G38" s="90"/>
      <c r="H38" s="27">
        <f t="shared" si="19"/>
        <v>3.9308844078032409E-2</v>
      </c>
      <c r="I38" s="1">
        <f t="shared" si="23"/>
        <v>1054.9503999999999</v>
      </c>
      <c r="J38" s="34">
        <f t="shared" si="24"/>
        <v>43213.936416407174</v>
      </c>
      <c r="K38" s="27">
        <f t="shared" si="20"/>
        <v>80.287485910387886</v>
      </c>
    </row>
    <row r="39" spans="1:11" x14ac:dyDescent="0.3">
      <c r="A39" s="86" t="s">
        <v>103</v>
      </c>
      <c r="B39" s="86"/>
      <c r="C39" s="86"/>
      <c r="D39" s="86"/>
      <c r="E39" s="86"/>
      <c r="F39" s="86"/>
      <c r="G39" s="86"/>
      <c r="H39" s="86"/>
      <c r="I39" s="86"/>
      <c r="J39" s="86"/>
      <c r="K39" s="86"/>
    </row>
    <row r="40" spans="1:11" x14ac:dyDescent="0.3">
      <c r="A40" s="1">
        <v>1</v>
      </c>
      <c r="B40" s="1">
        <v>0</v>
      </c>
      <c r="C40" s="88">
        <f>B40*C$4/100</f>
        <v>0</v>
      </c>
      <c r="D40" s="89"/>
      <c r="E40" s="90"/>
      <c r="F40" s="94">
        <f>'Passenger transport data'!D27</f>
        <v>27.772277207348207</v>
      </c>
      <c r="G40" s="95"/>
      <c r="H40" s="1">
        <f>F40/A40</f>
        <v>27.772277207348207</v>
      </c>
      <c r="I40" s="1">
        <v>0</v>
      </c>
      <c r="J40" s="1">
        <f>C$8*F40</f>
        <v>1527.4752464041514</v>
      </c>
      <c r="K40" s="1">
        <f>J40/A40</f>
        <v>1527.4752464041514</v>
      </c>
    </row>
    <row r="41" spans="1:11" x14ac:dyDescent="0.3">
      <c r="A41" s="18">
        <f>'Passenger transport data'!H8</f>
        <v>178.08</v>
      </c>
      <c r="B41" s="1">
        <f>C$7*A41</f>
        <v>12465.6</v>
      </c>
      <c r="C41" s="88">
        <f t="shared" ref="C41:C43" si="25">B41*C$4/100</f>
        <v>1.0595760000000001</v>
      </c>
      <c r="D41" s="89"/>
      <c r="E41" s="90"/>
      <c r="F41" s="88">
        <f>F$40+C41</f>
        <v>28.831853207348207</v>
      </c>
      <c r="G41" s="90"/>
      <c r="H41" s="27">
        <f t="shared" ref="H41:H43" si="26">F41/A41</f>
        <v>0.16190393759741803</v>
      </c>
      <c r="I41" s="1">
        <f>C$6*B41</f>
        <v>349.03679999999997</v>
      </c>
      <c r="J41" s="1">
        <f>F41*(I41+J$40)</f>
        <v>54103.319863745084</v>
      </c>
      <c r="K41" s="27">
        <f t="shared" ref="K41:K43" si="27">J41/A41</f>
        <v>303.814689261821</v>
      </c>
    </row>
    <row r="42" spans="1:11" x14ac:dyDescent="0.3">
      <c r="A42" s="18">
        <f>'Passenger transport data'!I8</f>
        <v>560</v>
      </c>
      <c r="B42" s="1">
        <f t="shared" ref="B42:B43" si="28">C$7*A42</f>
        <v>39200</v>
      </c>
      <c r="C42" s="88">
        <f t="shared" si="25"/>
        <v>3.3320000000000003</v>
      </c>
      <c r="D42" s="89"/>
      <c r="E42" s="90"/>
      <c r="F42" s="88">
        <f>F$40+C42</f>
        <v>31.104277207348208</v>
      </c>
      <c r="G42" s="90"/>
      <c r="H42" s="27">
        <f t="shared" si="26"/>
        <v>5.5543352155978942E-2</v>
      </c>
      <c r="I42" s="1">
        <f t="shared" ref="I42:I43" si="29">C$6*B42</f>
        <v>1097.5999999999999</v>
      </c>
      <c r="J42" s="1">
        <f t="shared" ref="J42:J43" si="30">F42*(I42+J$40)</f>
        <v>81651.068154302629</v>
      </c>
      <c r="K42" s="27">
        <f t="shared" si="27"/>
        <v>145.80547884696898</v>
      </c>
    </row>
    <row r="43" spans="1:11" x14ac:dyDescent="0.3">
      <c r="A43" s="18">
        <f>'Passenger transport data'!J8</f>
        <v>941.92</v>
      </c>
      <c r="B43" s="1">
        <f t="shared" si="28"/>
        <v>65934.399999999994</v>
      </c>
      <c r="C43" s="88">
        <f t="shared" si="25"/>
        <v>5.6044239999999999</v>
      </c>
      <c r="D43" s="89"/>
      <c r="E43" s="90"/>
      <c r="F43" s="88">
        <f t="shared" ref="F43" si="31">F$40+C43</f>
        <v>33.376701207348205</v>
      </c>
      <c r="G43" s="90"/>
      <c r="H43" s="27">
        <f t="shared" si="26"/>
        <v>3.5434751579060009E-2</v>
      </c>
      <c r="I43" s="1">
        <f t="shared" si="29"/>
        <v>1846.1631999999997</v>
      </c>
      <c r="J43" s="1">
        <f t="shared" si="30"/>
        <v>112600.92240725376</v>
      </c>
      <c r="K43" s="27">
        <f t="shared" si="27"/>
        <v>119.54404026589707</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5"/>
      <c r="F6" s="1" t="s">
        <v>41</v>
      </c>
    </row>
    <row r="7" spans="1:6" x14ac:dyDescent="0.3">
      <c r="B7" s="1" t="s">
        <v>97</v>
      </c>
      <c r="C7" s="1">
        <v>17.2</v>
      </c>
      <c r="D7" s="1">
        <f>C7/100</f>
        <v>0.17199999999999999</v>
      </c>
      <c r="E7" s="1" t="s">
        <v>98</v>
      </c>
      <c r="F7" s="26">
        <f>'Passenger transport data'!D12</f>
        <v>0.32394732984318231</v>
      </c>
    </row>
    <row r="8" spans="1:6" x14ac:dyDescent="0.3">
      <c r="B8" s="1" t="s">
        <v>99</v>
      </c>
      <c r="C8" s="1">
        <v>6.96</v>
      </c>
      <c r="D8" s="1">
        <f t="shared" ref="D8:D10" si="0">C8/100</f>
        <v>6.9599999999999995E-2</v>
      </c>
      <c r="E8" s="1">
        <f>D8/D$7</f>
        <v>0.40465116279069768</v>
      </c>
      <c r="F8" s="1">
        <f>F$7*E8</f>
        <v>0.13108566370398539</v>
      </c>
    </row>
    <row r="9" spans="1:6" x14ac:dyDescent="0.3">
      <c r="B9" s="1" t="s">
        <v>100</v>
      </c>
      <c r="C9" s="1">
        <v>0.625</v>
      </c>
      <c r="D9" s="1">
        <f t="shared" si="0"/>
        <v>6.2500000000000003E-3</v>
      </c>
      <c r="E9" s="1">
        <f>D9/D$7</f>
        <v>3.6337209302325583E-2</v>
      </c>
      <c r="F9" s="1">
        <f t="shared" ref="F9:F10" si="1">F$7*E9</f>
        <v>1.1771341927441219E-2</v>
      </c>
    </row>
    <row r="10" spans="1:6" x14ac:dyDescent="0.3">
      <c r="B10" s="1" t="s">
        <v>101</v>
      </c>
      <c r="C10" s="1">
        <v>1.355</v>
      </c>
      <c r="D10" s="1">
        <f t="shared" si="0"/>
        <v>1.355E-2</v>
      </c>
      <c r="E10" s="1">
        <f>D10/D$7</f>
        <v>7.8779069767441867E-2</v>
      </c>
      <c r="F10" s="1">
        <f t="shared" si="1"/>
        <v>2.5520269298692562E-2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2022-07-01T09:57:53Z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