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623" documentId="8_{4C372892-E9C3-428B-950B-C5A505A38EBC}" xr6:coauthVersionLast="47" xr6:coauthVersionMax="47" xr10:uidLastSave="{2B9125E0-03F5-4162-9594-28BB5BC249A3}"/>
  <bookViews>
    <workbookView xWindow="8676" yWindow="3708" windowWidth="14712" windowHeight="8880" firstSheet="2" activeTab="8"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 i="12" l="1"/>
  <c r="B33" i="4"/>
  <c r="B32" i="4"/>
  <c r="B31" i="4"/>
  <c r="B27" i="4"/>
  <c r="B26" i="4"/>
  <c r="B25" i="4"/>
  <c r="B24" i="4"/>
  <c r="B22" i="4"/>
  <c r="B21" i="4"/>
  <c r="B20" i="4"/>
  <c r="B16" i="4"/>
  <c r="B15" i="4"/>
  <c r="B13" i="4"/>
  <c r="B12" i="4"/>
  <c r="B11" i="4"/>
  <c r="B10" i="4"/>
  <c r="B8" i="4"/>
  <c r="B6" i="4"/>
  <c r="D10" i="1"/>
  <c r="B10" i="1"/>
  <c r="B4" i="1" l="1"/>
  <c r="B3" i="1"/>
  <c r="H6" i="12"/>
  <c r="C16" i="11" l="1"/>
  <c r="H4" i="12" s="1"/>
  <c r="C15" i="11"/>
  <c r="K6" i="10" l="1"/>
  <c r="G5" i="10"/>
  <c r="F8" i="10"/>
  <c r="C11" i="11"/>
  <c r="E5" i="11" l="1"/>
  <c r="C8" i="10"/>
  <c r="I6" i="10"/>
  <c r="C5" i="10"/>
  <c r="C26" i="10" s="1"/>
  <c r="I4" i="10"/>
  <c r="F25" i="8"/>
  <c r="C25" i="8"/>
  <c r="C11" i="10" l="1"/>
  <c r="C31" i="10"/>
  <c r="C16" i="10"/>
  <c r="C21" i="10"/>
  <c r="H25" i="8"/>
  <c r="D25" i="4"/>
  <c r="B10" i="12" s="1"/>
  <c r="D15" i="4"/>
  <c r="D11" i="1"/>
  <c r="B11" i="1"/>
  <c r="H5" i="12" l="1"/>
  <c r="C10" i="12" s="1"/>
  <c r="F8" i="8"/>
  <c r="J25" i="8" s="1"/>
  <c r="K25" i="8" s="1"/>
  <c r="D3" i="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8" i="10"/>
  <c r="B28" i="10" s="1"/>
  <c r="A23" i="10"/>
  <c r="B23" i="10" s="1"/>
  <c r="A33" i="10"/>
  <c r="B33" i="10" s="1"/>
  <c r="A18" i="10"/>
  <c r="B18"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I38" i="9" s="1"/>
  <c r="A39" i="12"/>
  <c r="A28" i="8"/>
  <c r="B28" i="8" s="1"/>
  <c r="I27" i="8"/>
  <c r="C27" i="8"/>
  <c r="F27" i="8" s="1"/>
  <c r="A36" i="9"/>
  <c r="B36" i="9" s="1"/>
  <c r="C36" i="9" s="1"/>
  <c r="A37" i="12"/>
  <c r="A26" i="8"/>
  <c r="B26" i="8" s="1"/>
  <c r="A42" i="12"/>
  <c r="A33" i="9"/>
  <c r="B33" i="9" s="1"/>
  <c r="A51" i="12"/>
  <c r="A31" i="9"/>
  <c r="B31" i="9" s="1"/>
  <c r="I31" i="9" s="1"/>
  <c r="A49" i="12"/>
  <c r="A21" i="8"/>
  <c r="B21" i="8" s="1"/>
  <c r="I21" i="8" s="1"/>
  <c r="A17" i="12"/>
  <c r="A22" i="10"/>
  <c r="B22" i="10" s="1"/>
  <c r="A12" i="10"/>
  <c r="B12" i="10" s="1"/>
  <c r="A32" i="10"/>
  <c r="B32" i="10" s="1"/>
  <c r="A17" i="10"/>
  <c r="B17" i="10" s="1"/>
  <c r="A27" i="10"/>
  <c r="B27" i="10" s="1"/>
  <c r="C33" i="10"/>
  <c r="I33" i="10"/>
  <c r="I23" i="10"/>
  <c r="C23" i="10"/>
  <c r="C13" i="10"/>
  <c r="I13" i="10"/>
  <c r="C18" i="10"/>
  <c r="I18" i="10"/>
  <c r="C28" i="10"/>
  <c r="I28" i="10"/>
  <c r="A19" i="12"/>
  <c r="A34" i="10"/>
  <c r="B34" i="10" s="1"/>
  <c r="A19" i="10"/>
  <c r="B19" i="10" s="1"/>
  <c r="A14" i="10"/>
  <c r="B14" i="10" s="1"/>
  <c r="A29" i="10"/>
  <c r="B29" i="10" s="1"/>
  <c r="A24" i="10"/>
  <c r="B24" i="10" s="1"/>
  <c r="A26" i="12"/>
  <c r="A34" i="12"/>
  <c r="A30" i="12"/>
  <c r="A22" i="12"/>
  <c r="C43" i="9"/>
  <c r="I43" i="9"/>
  <c r="C42" i="9"/>
  <c r="C41" i="9"/>
  <c r="I37" i="9"/>
  <c r="C37" i="9"/>
  <c r="C32" i="9"/>
  <c r="I32" i="9"/>
  <c r="C31" i="9"/>
  <c r="A23" i="8"/>
  <c r="B23" i="8" s="1"/>
  <c r="I23" i="8" s="1"/>
  <c r="C22" i="8"/>
  <c r="C21" i="8"/>
  <c r="D29" i="4"/>
  <c r="D26" i="4"/>
  <c r="D27" i="4"/>
  <c r="D24" i="4"/>
  <c r="D17" i="4"/>
  <c r="D16" i="4"/>
  <c r="L6" i="10" s="1"/>
  <c r="D10" i="4"/>
  <c r="F11" i="8" s="1"/>
  <c r="D11" i="4"/>
  <c r="F17" i="9" s="1"/>
  <c r="D12" i="4"/>
  <c r="D13" i="4"/>
  <c r="D8" i="4"/>
  <c r="F17" i="8" s="1"/>
  <c r="C38" i="9" l="1"/>
  <c r="F40" i="9"/>
  <c r="H40" i="9" s="1"/>
  <c r="B11" i="12"/>
  <c r="B46" i="12" s="1"/>
  <c r="B45" i="12"/>
  <c r="B47" i="12"/>
  <c r="F35" i="9"/>
  <c r="H35" i="9" s="1"/>
  <c r="B9" i="12"/>
  <c r="B38" i="12" s="1"/>
  <c r="F30" i="9"/>
  <c r="H30" i="9" s="1"/>
  <c r="B12" i="12"/>
  <c r="B50" i="12" s="1"/>
  <c r="H27" i="8"/>
  <c r="J27" i="8"/>
  <c r="K27" i="8" s="1"/>
  <c r="I36" i="9"/>
  <c r="I28" i="8"/>
  <c r="C28" i="8"/>
  <c r="F28" i="8" s="1"/>
  <c r="A41" i="12"/>
  <c r="A43" i="12"/>
  <c r="I26" i="8"/>
  <c r="C26" i="8"/>
  <c r="F26" i="8" s="1"/>
  <c r="B42" i="12"/>
  <c r="C42" i="12"/>
  <c r="F20" i="8"/>
  <c r="H20" i="8" s="1"/>
  <c r="B4" i="12"/>
  <c r="B17" i="12" s="1"/>
  <c r="F11" i="10"/>
  <c r="H11" i="10" s="1"/>
  <c r="F31" i="10"/>
  <c r="H31" i="10" s="1"/>
  <c r="F21" i="10"/>
  <c r="F23" i="10" s="1"/>
  <c r="F26" i="10"/>
  <c r="F28" i="10" s="1"/>
  <c r="F16" i="10"/>
  <c r="H16" i="10" s="1"/>
  <c r="I17" i="10"/>
  <c r="C17" i="10"/>
  <c r="I29" i="10"/>
  <c r="C29" i="10"/>
  <c r="C14" i="10"/>
  <c r="I14" i="10"/>
  <c r="I32" i="10"/>
  <c r="C32" i="10"/>
  <c r="I24" i="10"/>
  <c r="C24" i="10"/>
  <c r="C12" i="10"/>
  <c r="I12" i="10"/>
  <c r="I22" i="10"/>
  <c r="C22" i="10"/>
  <c r="I19" i="10"/>
  <c r="C19" i="10"/>
  <c r="F19" i="10" s="1"/>
  <c r="H19" i="10" s="1"/>
  <c r="C34" i="10"/>
  <c r="I34" i="10"/>
  <c r="A31" i="12"/>
  <c r="A35" i="12"/>
  <c r="A27" i="12"/>
  <c r="A23" i="12"/>
  <c r="A25" i="12"/>
  <c r="A33" i="12"/>
  <c r="A29" i="12"/>
  <c r="A21" i="12"/>
  <c r="C27" i="10"/>
  <c r="I27" i="10"/>
  <c r="C8" i="9"/>
  <c r="H3" i="12"/>
  <c r="C10" i="11"/>
  <c r="C8" i="8"/>
  <c r="J11" i="8" s="1"/>
  <c r="K11" i="8" s="1"/>
  <c r="F41" i="9"/>
  <c r="H41" i="9" s="1"/>
  <c r="F42" i="9"/>
  <c r="H42" i="9" s="1"/>
  <c r="F43" i="9"/>
  <c r="H43" i="9" s="1"/>
  <c r="F21" i="8"/>
  <c r="F22" i="8"/>
  <c r="F11" i="9"/>
  <c r="F7" i="7"/>
  <c r="H17" i="9"/>
  <c r="F19" i="9"/>
  <c r="F20" i="9"/>
  <c r="F21" i="9"/>
  <c r="F18" i="9"/>
  <c r="H11" i="8"/>
  <c r="F13" i="8"/>
  <c r="F12" i="8"/>
  <c r="F14" i="8"/>
  <c r="F15" i="8"/>
  <c r="H17" i="8"/>
  <c r="F18" i="8"/>
  <c r="C23" i="8"/>
  <c r="F23" i="8" s="1"/>
  <c r="I33" i="9"/>
  <c r="C33" i="9"/>
  <c r="F33" i="9" s="1"/>
  <c r="E10" i="1"/>
  <c r="B37" i="12" l="1"/>
  <c r="F12" i="10"/>
  <c r="H12" i="10" s="1"/>
  <c r="F32" i="10"/>
  <c r="H32" i="10" s="1"/>
  <c r="F34" i="10"/>
  <c r="H34" i="10" s="1"/>
  <c r="F36" i="9"/>
  <c r="H36" i="9" s="1"/>
  <c r="F37" i="9"/>
  <c r="H37" i="9" s="1"/>
  <c r="F38" i="9"/>
  <c r="H38" i="9" s="1"/>
  <c r="B19" i="12"/>
  <c r="J15" i="8"/>
  <c r="K15" i="8" s="1"/>
  <c r="F14" i="10"/>
  <c r="H14" i="10" s="1"/>
  <c r="B39" i="12"/>
  <c r="F32" i="9"/>
  <c r="H32" i="9" s="1"/>
  <c r="B49" i="12"/>
  <c r="F31" i="9"/>
  <c r="H31" i="9" s="1"/>
  <c r="B51" i="12"/>
  <c r="B41" i="12"/>
  <c r="C41" i="12"/>
  <c r="B43" i="12"/>
  <c r="C43" i="12"/>
  <c r="H28" i="8"/>
  <c r="J28" i="8"/>
  <c r="K28" i="8" s="1"/>
  <c r="H26" i="8"/>
  <c r="J26" i="8"/>
  <c r="K26" i="8" s="1"/>
  <c r="J13" i="8"/>
  <c r="J14" i="8"/>
  <c r="K14" i="8" s="1"/>
  <c r="J17" i="8"/>
  <c r="K17" i="8" s="1"/>
  <c r="J20" i="8"/>
  <c r="K20" i="8" s="1"/>
  <c r="H23" i="10"/>
  <c r="H28" i="10"/>
  <c r="F29" i="10"/>
  <c r="B22" i="12"/>
  <c r="B34" i="12"/>
  <c r="B27" i="12"/>
  <c r="B18" i="12"/>
  <c r="F27" i="10"/>
  <c r="H27" i="10" s="1"/>
  <c r="F13" i="10"/>
  <c r="H13" i="10" s="1"/>
  <c r="J21" i="10"/>
  <c r="K21" i="10" s="1"/>
  <c r="H21" i="10"/>
  <c r="F22" i="10"/>
  <c r="H22" i="10" s="1"/>
  <c r="F24" i="10"/>
  <c r="F17" i="10"/>
  <c r="H17" i="10" s="1"/>
  <c r="F33" i="10"/>
  <c r="H33" i="10" s="1"/>
  <c r="J26" i="10"/>
  <c r="K26" i="10" s="1"/>
  <c r="H26" i="10"/>
  <c r="F18" i="10"/>
  <c r="H18" i="10" s="1"/>
  <c r="J12" i="8"/>
  <c r="K12" i="8" s="1"/>
  <c r="B25" i="12"/>
  <c r="H24" i="10"/>
  <c r="J30" i="9"/>
  <c r="K30" i="9" s="1"/>
  <c r="J35" i="9"/>
  <c r="K35" i="9" s="1"/>
  <c r="I8" i="10"/>
  <c r="E2" i="11"/>
  <c r="J40" i="9"/>
  <c r="J42" i="9" s="1"/>
  <c r="K42" i="9" s="1"/>
  <c r="C11" i="12"/>
  <c r="C12" i="12"/>
  <c r="H8" i="12"/>
  <c r="C9" i="12"/>
  <c r="C5" i="12"/>
  <c r="J21" i="8"/>
  <c r="K21" i="8" s="1"/>
  <c r="J23" i="8"/>
  <c r="K23" i="8" s="1"/>
  <c r="H22" i="8"/>
  <c r="H21" i="8"/>
  <c r="K40" i="9"/>
  <c r="J43" i="9"/>
  <c r="K43" i="9" s="1"/>
  <c r="F6" i="9"/>
  <c r="J17" i="9" s="1"/>
  <c r="J18" i="9" s="1"/>
  <c r="F8" i="7"/>
  <c r="F23" i="9" s="1"/>
  <c r="F9" i="7"/>
  <c r="F26" i="9" s="1"/>
  <c r="F10" i="7"/>
  <c r="F28" i="9" s="1"/>
  <c r="J11" i="9"/>
  <c r="H11" i="9"/>
  <c r="F12" i="9"/>
  <c r="F13" i="9"/>
  <c r="F14" i="9"/>
  <c r="F15" i="9"/>
  <c r="H20" i="9"/>
  <c r="H21" i="9"/>
  <c r="H19" i="9"/>
  <c r="H18" i="9"/>
  <c r="K13" i="8"/>
  <c r="H13" i="8"/>
  <c r="H15" i="8"/>
  <c r="H12" i="8"/>
  <c r="H14" i="8"/>
  <c r="H18" i="8"/>
  <c r="H23" i="8"/>
  <c r="H33" i="9"/>
  <c r="E9" i="3"/>
  <c r="E5" i="3"/>
  <c r="E3" i="3"/>
  <c r="C3" i="3" s="1"/>
  <c r="B35" i="12" l="1"/>
  <c r="B21" i="12"/>
  <c r="C7" i="12"/>
  <c r="C35" i="12" s="1"/>
  <c r="J29" i="10"/>
  <c r="K29" i="10" s="1"/>
  <c r="B33" i="12"/>
  <c r="B23" i="12"/>
  <c r="J24" i="10"/>
  <c r="K24" i="10" s="1"/>
  <c r="J36" i="9"/>
  <c r="K36" i="9" s="1"/>
  <c r="J37" i="9"/>
  <c r="K37" i="9" s="1"/>
  <c r="J38" i="9"/>
  <c r="K38" i="9" s="1"/>
  <c r="J33" i="9"/>
  <c r="K33" i="9" s="1"/>
  <c r="J32" i="9"/>
  <c r="K32" i="9" s="1"/>
  <c r="J31" i="9"/>
  <c r="K31" i="9" s="1"/>
  <c r="J18" i="8"/>
  <c r="K18" i="8" s="1"/>
  <c r="J22" i="8"/>
  <c r="K22" i="8" s="1"/>
  <c r="C8" i="12"/>
  <c r="B30" i="12"/>
  <c r="B31" i="12"/>
  <c r="J27" i="10"/>
  <c r="K27" i="10" s="1"/>
  <c r="B29" i="12"/>
  <c r="C6" i="12"/>
  <c r="B26" i="12"/>
  <c r="J28" i="10"/>
  <c r="K28" i="10" s="1"/>
  <c r="J22" i="10"/>
  <c r="K22" i="10" s="1"/>
  <c r="H29" i="10"/>
  <c r="J23" i="10"/>
  <c r="K23" i="10" s="1"/>
  <c r="C50" i="12"/>
  <c r="C49" i="12"/>
  <c r="C51" i="12"/>
  <c r="C46" i="12"/>
  <c r="C47" i="12"/>
  <c r="C45" i="12"/>
  <c r="K8" i="10"/>
  <c r="J31" i="10" s="1"/>
  <c r="H7" i="12"/>
  <c r="C4" i="12" s="1"/>
  <c r="J16" i="10"/>
  <c r="J11" i="10"/>
  <c r="J41" i="9"/>
  <c r="K41" i="9" s="1"/>
  <c r="C21" i="12"/>
  <c r="C22" i="12"/>
  <c r="C23" i="12"/>
  <c r="C39" i="12"/>
  <c r="C37" i="12"/>
  <c r="C38"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3" i="12" l="1"/>
  <c r="C34" i="12"/>
  <c r="C26" i="12"/>
  <c r="C25" i="12"/>
  <c r="C27" i="12"/>
  <c r="C30" i="12"/>
  <c r="C29" i="12"/>
  <c r="C31" i="12"/>
  <c r="C18" i="12"/>
  <c r="C17" i="12"/>
  <c r="C19" i="12"/>
  <c r="K11" i="10"/>
  <c r="J14" i="10"/>
  <c r="K14" i="10" s="1"/>
  <c r="J12" i="10"/>
  <c r="K12" i="10" s="1"/>
  <c r="J13" i="10"/>
  <c r="K13" i="10" s="1"/>
  <c r="K31" i="10"/>
  <c r="J32" i="10"/>
  <c r="K32" i="10" s="1"/>
  <c r="J33" i="10"/>
  <c r="K33" i="10" s="1"/>
  <c r="J34" i="10"/>
  <c r="K34" i="10" s="1"/>
  <c r="J17" i="10"/>
  <c r="K17" i="10" s="1"/>
  <c r="J19" i="10"/>
  <c r="K19" i="10" s="1"/>
  <c r="J18" i="10"/>
  <c r="K18" i="10" s="1"/>
  <c r="K16" i="10"/>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<sst xmlns="http://schemas.openxmlformats.org/spreadsheetml/2006/main" count="307" uniqueCount="195">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</sst>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BG/JRC-IDEES-2015_Residential_B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BG/JRC-IDEES-2015_Transport_BG.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2942.0620420739133</v>
          </cell>
        </row>
        <row r="162">
          <cell r="Q162">
            <v>603.46899944661504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sheetData sheetId="1"/>
      <sheetData sheetId="2">
        <row r="30">
          <cell r="Q30">
            <v>2466.8489319648279</v>
          </cell>
        </row>
        <row r="56">
          <cell r="Q56">
            <v>6876.6015447799928</v>
          </cell>
        </row>
      </sheetData>
      <sheetData sheetId="3">
        <row r="150">
          <cell r="Q150">
            <v>26.090437214199358</v>
          </cell>
        </row>
      </sheetData>
      <sheetData sheetId="4">
        <row r="62">
          <cell r="Q62">
            <v>3.8435902593713647</v>
          </cell>
        </row>
        <row r="64">
          <cell r="Q64">
            <v>7.9906241003377687</v>
          </cell>
        </row>
        <row r="65">
          <cell r="Q65">
            <v>5.7602502447525596</v>
          </cell>
        </row>
        <row r="68">
          <cell r="Q68"/>
        </row>
        <row r="69">
          <cell r="Q69"/>
        </row>
        <row r="70">
          <cell r="Q70">
            <v>51.790619531365465</v>
          </cell>
        </row>
      </sheetData>
      <sheetData sheetId="5">
        <row r="48">
          <cell r="Q48">
            <v>2.7321489830588148</v>
          </cell>
        </row>
        <row r="49">
          <cell r="Q49">
            <v>2.917523853269167</v>
          </cell>
        </row>
      </sheetData>
      <sheetData sheetId="6"/>
      <sheetData sheetId="7">
        <row r="62">
          <cell r="Q62">
            <v>84.010038549181957</v>
          </cell>
        </row>
        <row r="63">
          <cell r="Q63">
            <v>105.01254818647745</v>
          </cell>
        </row>
        <row r="66">
          <cell r="Q66">
            <v>0</v>
          </cell>
        </row>
      </sheetData>
      <sheetData sheetId="8">
        <row r="31">
          <cell r="Q31">
            <v>30.850529573351626</v>
          </cell>
        </row>
        <row r="33">
          <cell r="Q33">
            <v>246.96052216720824</v>
          </cell>
        </row>
        <row r="34">
          <cell r="Q34">
            <v>114.72518213498233</v>
          </cell>
        </row>
        <row r="35">
          <cell r="Q35"/>
        </row>
      </sheetData>
      <sheetData sheetId="9">
        <row r="30">
          <cell r="Q30">
            <v>766.17496682936371</v>
          </cell>
        </row>
      </sheetData>
      <sheetData sheetId="10">
        <row r="69">
          <cell r="Q69">
            <v>133.38876611418047</v>
          </cell>
        </row>
      </sheetData>
      <sheetData sheetId="11">
        <row r="37">
          <cell r="Q37">
            <v>3130.849050535176</v>
          </cell>
        </row>
      </sheetData>
      <sheetData sheetId="12">
        <row r="41">
          <cell r="Q41">
            <v>9423.4463316154925</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603.46899944661504</v>
      </c>
      <c r="C3" s="6">
        <v>0.48599999999999999</v>
      </c>
      <c r="D3" s="2">
        <f>B3*$C3</f>
        <v>293.28593373105491</v>
      </c>
      <c r="E3" s="31">
        <v>1257.98</v>
      </c>
    </row>
    <row r="4" spans="1:5" x14ac:dyDescent="0.3">
      <c r="A4" s="1" t="s">
        <v>5</v>
      </c>
      <c r="B4" s="6">
        <f>[1]RES_summary!$Q$157</f>
        <v>2942.0620420739133</v>
      </c>
      <c r="C4" s="6">
        <v>0.20200000000000001</v>
      </c>
      <c r="D4" s="29">
        <f>B4*$C4</f>
        <v>594.29653249893056</v>
      </c>
      <c r="E4" s="31">
        <v>367.75</v>
      </c>
    </row>
    <row r="5" spans="1:5" x14ac:dyDescent="0.3">
      <c r="A5" s="1" t="s">
        <v>6</v>
      </c>
      <c r="B5" s="2">
        <f>B3+B4</f>
        <v>3545.5310415205286</v>
      </c>
      <c r="C5" s="3" t="s">
        <v>7</v>
      </c>
      <c r="D5" s="29">
        <f>D3+D4</f>
        <v>887.58246622998547</v>
      </c>
      <c r="E5" s="31">
        <f>E3+E4</f>
        <v>1625.73</v>
      </c>
    </row>
    <row r="7" spans="1:5" x14ac:dyDescent="0.3">
      <c r="A7" t="s">
        <v>20</v>
      </c>
      <c r="B7" s="5">
        <v>7202198</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2466.8489319648279</v>
      </c>
      <c r="C10" s="2">
        <f>B10*11630*1000/B7</f>
        <v>3983.4302082157351</v>
      </c>
      <c r="D10" s="6">
        <f>[2]Transport!$Q$56</f>
        <v>6876.6015447799928</v>
      </c>
      <c r="E10" s="2">
        <f>D10*1000000/B7</f>
        <v>954.79207108440971</v>
      </c>
    </row>
    <row r="11" spans="1:5" x14ac:dyDescent="0.3">
      <c r="A11" s="39" t="s">
        <v>142</v>
      </c>
      <c r="B11" s="40">
        <f>B10*11630</f>
        <v>28689453.078750949</v>
      </c>
      <c r="C11" s="40" t="s">
        <v>143</v>
      </c>
      <c r="D11" s="40">
        <f>D10*1000</f>
        <v>6876601.5447799927</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G8" sqref="G8"/>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452.60174958496128</v>
      </c>
      <c r="C2" s="35">
        <f>E2*0.9</f>
        <v>543.12209950195358</v>
      </c>
      <c r="D2" s="35">
        <f>0.95*E2</f>
        <v>573.29554947428426</v>
      </c>
      <c r="E2" s="35">
        <f>'Cons and emi per capita'!B3</f>
        <v>603.46899944661504</v>
      </c>
      <c r="F2" s="35">
        <f>1.05*E2</f>
        <v>633.64244941894583</v>
      </c>
      <c r="G2" s="35">
        <f>1.25*E2</f>
        <v>754.33624930826886</v>
      </c>
      <c r="H2" s="12" t="s">
        <v>28</v>
      </c>
    </row>
    <row r="3" spans="1:8" x14ac:dyDescent="0.3">
      <c r="A3" s="1" t="s">
        <v>5</v>
      </c>
      <c r="B3" s="35">
        <f t="shared" ref="B3:B4" si="0">0.75*E3</f>
        <v>2206.5465315554347</v>
      </c>
      <c r="C3" s="35">
        <f t="shared" ref="C3:C4" si="1">E3*0.9</f>
        <v>2647.8558378665221</v>
      </c>
      <c r="D3" s="35">
        <f t="shared" ref="D3:D9" si="2">0.95*E3</f>
        <v>2794.9589399702177</v>
      </c>
      <c r="E3" s="17">
        <f>'Cons and emi per capita'!B4</f>
        <v>2942.0620420739133</v>
      </c>
      <c r="F3" s="35">
        <f t="shared" ref="F3:F9" si="3">1.05*E3</f>
        <v>3089.1651441776089</v>
      </c>
      <c r="G3" s="35">
        <f t="shared" ref="G3:G4" si="4">1.25*E3</f>
        <v>3677.5775525923918</v>
      </c>
      <c r="H3" s="1" t="s">
        <v>28</v>
      </c>
    </row>
    <row r="4" spans="1:8" x14ac:dyDescent="0.3">
      <c r="A4" s="1" t="s">
        <v>18</v>
      </c>
      <c r="B4" s="35">
        <f t="shared" si="0"/>
        <v>2659.1482811403966</v>
      </c>
      <c r="C4" s="35">
        <f t="shared" si="1"/>
        <v>3190.977937368476</v>
      </c>
      <c r="D4" s="35">
        <f t="shared" si="2"/>
        <v>3368.2544894445018</v>
      </c>
      <c r="E4" s="17">
        <f>E2+E3</f>
        <v>3545.5310415205286</v>
      </c>
      <c r="F4" s="35">
        <f t="shared" si="3"/>
        <v>3722.8075935965553</v>
      </c>
      <c r="G4" s="35">
        <f t="shared" si="4"/>
        <v>4431.9138019006605</v>
      </c>
      <c r="H4" s="1" t="s">
        <v>28</v>
      </c>
    </row>
    <row r="5" spans="1:8" x14ac:dyDescent="0.3">
      <c r="A5" s="1" t="s">
        <v>33</v>
      </c>
      <c r="B5" s="17">
        <f>0.84*E5</f>
        <v>3346.0813749012173</v>
      </c>
      <c r="C5" s="35">
        <f>E5*0.91</f>
        <v>3624.921489476319</v>
      </c>
      <c r="D5" s="35">
        <f t="shared" si="2"/>
        <v>3784.258697804948</v>
      </c>
      <c r="E5" s="17">
        <f>'Cons and emi per capita'!C10</f>
        <v>3983.4302082157351</v>
      </c>
      <c r="F5" s="35">
        <f t="shared" si="3"/>
        <v>4182.6017186265217</v>
      </c>
      <c r="G5" s="17">
        <f>1.16*E5</f>
        <v>4620.7790415302525</v>
      </c>
      <c r="H5" s="1" t="s">
        <v>28</v>
      </c>
    </row>
    <row r="6" spans="1:8" x14ac:dyDescent="0.3">
      <c r="A6" s="1" t="s">
        <v>29</v>
      </c>
      <c r="B6" s="17">
        <f>0.75*E6</f>
        <v>219.96445029829118</v>
      </c>
      <c r="C6" s="35">
        <f>E6*0.9</f>
        <v>263.95734035794942</v>
      </c>
      <c r="D6" s="35">
        <f t="shared" si="2"/>
        <v>278.62163704450217</v>
      </c>
      <c r="E6" s="17">
        <f>'Cons and emi per capita'!D3</f>
        <v>293.28593373105491</v>
      </c>
      <c r="F6" s="35">
        <f t="shared" si="3"/>
        <v>307.95023041760766</v>
      </c>
      <c r="G6" s="17">
        <f>1.25*E6</f>
        <v>366.60741716381864</v>
      </c>
      <c r="H6" s="1" t="s">
        <v>30</v>
      </c>
    </row>
    <row r="7" spans="1:8" x14ac:dyDescent="0.3">
      <c r="A7" s="1" t="s">
        <v>31</v>
      </c>
      <c r="B7" s="17">
        <f>0.75*E7</f>
        <v>445.72239937419795</v>
      </c>
      <c r="C7" s="35">
        <f t="shared" ref="C7:C8" si="5">E7*0.9</f>
        <v>534.86687924903754</v>
      </c>
      <c r="D7" s="35">
        <f t="shared" si="2"/>
        <v>564.58170587398399</v>
      </c>
      <c r="E7" s="17">
        <f>'Cons and emi per capita'!D4</f>
        <v>594.29653249893056</v>
      </c>
      <c r="F7" s="35">
        <f t="shared" si="3"/>
        <v>624.01135912387713</v>
      </c>
      <c r="G7" s="17">
        <f t="shared" ref="G7:G8" si="6">1.25*E7</f>
        <v>742.87066562366317</v>
      </c>
      <c r="H7" s="1" t="s">
        <v>30</v>
      </c>
    </row>
    <row r="8" spans="1:8" x14ac:dyDescent="0.3">
      <c r="A8" s="1" t="s">
        <v>32</v>
      </c>
      <c r="B8" s="17">
        <f t="shared" ref="B8" si="7">0.75*E8</f>
        <v>665.68684967248907</v>
      </c>
      <c r="C8" s="35">
        <f t="shared" si="5"/>
        <v>798.82421960698696</v>
      </c>
      <c r="D8" s="35">
        <f t="shared" si="2"/>
        <v>843.20334291848621</v>
      </c>
      <c r="E8" s="17">
        <f>E6+E7</f>
        <v>887.58246622998547</v>
      </c>
      <c r="F8" s="35">
        <f t="shared" si="3"/>
        <v>931.96158954148473</v>
      </c>
      <c r="G8" s="17">
        <f t="shared" si="6"/>
        <v>1109.4780827874818</v>
      </c>
      <c r="H8" s="1" t="s">
        <v>30</v>
      </c>
    </row>
    <row r="9" spans="1:8" x14ac:dyDescent="0.3">
      <c r="A9" s="1" t="s">
        <v>34</v>
      </c>
      <c r="B9" s="17">
        <f>0.84*E9</f>
        <v>802.02533971090418</v>
      </c>
      <c r="C9" s="35">
        <f>E9*0.91</f>
        <v>868.86078468681285</v>
      </c>
      <c r="D9" s="35">
        <f t="shared" si="2"/>
        <v>907.05246753018923</v>
      </c>
      <c r="E9" s="17">
        <f>'Cons and emi per capita'!E10</f>
        <v>954.79207108440971</v>
      </c>
      <c r="F9" s="35">
        <f t="shared" si="3"/>
        <v>1002.5316746386302</v>
      </c>
      <c r="G9" s="17">
        <f>1.16*E9</f>
        <v>1107.5588024579151</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6005.2296560416144</v>
      </c>
      <c r="C13" s="37">
        <f t="shared" ref="C13:G13" si="8">SUM(C4:C5)</f>
        <v>6815.899426844795</v>
      </c>
      <c r="D13" s="37">
        <f t="shared" si="8"/>
        <v>7152.5131872494494</v>
      </c>
      <c r="E13" s="37">
        <f t="shared" si="8"/>
        <v>7528.9612497362632</v>
      </c>
      <c r="F13" s="37">
        <f t="shared" si="8"/>
        <v>7905.409312223077</v>
      </c>
      <c r="G13" s="37">
        <f t="shared" si="8"/>
        <v>9052.692843430912</v>
      </c>
    </row>
    <row r="14" spans="1:8" x14ac:dyDescent="0.3">
      <c r="B14" s="37">
        <f>SUM(B8:B9)</f>
        <v>1467.7121893833933</v>
      </c>
      <c r="C14" s="37">
        <f t="shared" ref="C14:G14" si="9">SUM(C8:C9)</f>
        <v>1667.6850042937999</v>
      </c>
      <c r="D14" s="37">
        <f t="shared" si="9"/>
        <v>1750.2558104486754</v>
      </c>
      <c r="E14" s="37">
        <f t="shared" si="9"/>
        <v>1842.3745373143952</v>
      </c>
      <c r="F14" s="37">
        <f t="shared" si="9"/>
        <v>1934.4932641801149</v>
      </c>
      <c r="G14" s="37">
        <f t="shared" si="9"/>
        <v>2217.0368852453967</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zoomScale="90" zoomScaleNormal="90" workbookViewId="0">
      <selection activeCell="B13" sqref="B13"/>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8.2967590341153965</v>
      </c>
      <c r="I5" s="17">
        <f>B6</f>
        <v>26.090437214199358</v>
      </c>
      <c r="J5" s="17">
        <f>J$4*I5/I$4</f>
        <v>43.88411539428332</v>
      </c>
    </row>
    <row r="6" spans="1:11" x14ac:dyDescent="0.3">
      <c r="A6" s="1" t="s">
        <v>40</v>
      </c>
      <c r="B6" s="6">
        <f>[2]TrRoad_act!$Q$150</f>
        <v>26.090437214199358</v>
      </c>
      <c r="C6" s="1" t="s">
        <v>59</v>
      </c>
      <c r="D6" s="3" t="s">
        <v>7</v>
      </c>
      <c r="E6" s="1"/>
      <c r="G6" s="1" t="s">
        <v>83</v>
      </c>
      <c r="H6" s="17">
        <f t="shared" ref="H6:H8" si="0">H$4*I6/I$4</f>
        <v>26.715192258639863</v>
      </c>
      <c r="I6" s="17">
        <f>B20</f>
        <v>84.010038549181957</v>
      </c>
      <c r="J6" s="17">
        <f t="shared" ref="J6:J8" si="1">J$4*I6/I$4</f>
        <v>141.30488483972402</v>
      </c>
    </row>
    <row r="7" spans="1:11" x14ac:dyDescent="0.3">
      <c r="A7" s="57" t="s">
        <v>61</v>
      </c>
      <c r="B7" s="57"/>
      <c r="C7" s="57"/>
      <c r="D7" s="57"/>
      <c r="E7" s="57"/>
      <c r="G7" s="1" t="s">
        <v>84</v>
      </c>
      <c r="H7" s="17">
        <f t="shared" si="0"/>
        <v>33.393990323299825</v>
      </c>
      <c r="I7" s="17">
        <f>B21</f>
        <v>105.01254818647745</v>
      </c>
      <c r="J7" s="17">
        <f t="shared" si="1"/>
        <v>176.63110604965507</v>
      </c>
    </row>
    <row r="8" spans="1:11" x14ac:dyDescent="0.3">
      <c r="A8" s="1" t="s">
        <v>42</v>
      </c>
      <c r="B8" s="6">
        <f>[2]TrRoad_ene!$Q$62</f>
        <v>3.8435902593713647</v>
      </c>
      <c r="C8" s="74" t="s">
        <v>60</v>
      </c>
      <c r="D8" s="27">
        <f>B8*11.63/100</f>
        <v>0.44700954716488972</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6.8754371725451637</v>
      </c>
      <c r="C10" s="74"/>
      <c r="D10" s="27">
        <f t="shared" ref="D10:D13" si="2">B10*11.63/100</f>
        <v>0.79961334316700261</v>
      </c>
      <c r="E10" s="74"/>
    </row>
    <row r="11" spans="1:11" x14ac:dyDescent="0.3">
      <c r="A11" s="1" t="s">
        <v>45</v>
      </c>
      <c r="B11" s="6">
        <f>[2]TrRoad_ene!$Q$68</f>
        <v>0</v>
      </c>
      <c r="C11" s="74"/>
      <c r="D11" s="27">
        <f t="shared" si="2"/>
        <v>0</v>
      </c>
      <c r="E11" s="74"/>
    </row>
    <row r="12" spans="1:11" x14ac:dyDescent="0.3">
      <c r="A12" s="1" t="s">
        <v>46</v>
      </c>
      <c r="B12" s="6">
        <f>[2]TrRoad_ene!$Q$69</f>
        <v>0</v>
      </c>
      <c r="C12" s="74"/>
      <c r="D12" s="27">
        <f t="shared" si="2"/>
        <v>0</v>
      </c>
      <c r="E12" s="74"/>
    </row>
    <row r="13" spans="1:11" x14ac:dyDescent="0.3">
      <c r="A13" s="1" t="s">
        <v>40</v>
      </c>
      <c r="B13" s="6">
        <f>[2]TrRoad_ene!$Q$70</f>
        <v>51.790619531365465</v>
      </c>
      <c r="C13" s="74"/>
      <c r="D13" s="27">
        <f t="shared" si="2"/>
        <v>6.0232490514978041</v>
      </c>
      <c r="E13" s="74"/>
    </row>
    <row r="14" spans="1:11" x14ac:dyDescent="0.3">
      <c r="A14" s="57" t="s">
        <v>63</v>
      </c>
      <c r="B14" s="57"/>
      <c r="C14" s="57"/>
      <c r="D14" s="57"/>
      <c r="E14" s="57"/>
    </row>
    <row r="15" spans="1:11" x14ac:dyDescent="0.3">
      <c r="A15" s="38" t="s">
        <v>145</v>
      </c>
      <c r="B15" s="6">
        <f>[2]TrRail_emi!$Q$30</f>
        <v>766.17496682936371</v>
      </c>
      <c r="C15" s="1" t="s">
        <v>62</v>
      </c>
      <c r="D15" s="28">
        <f>B15*1000/11630</f>
        <v>65.879188893324482</v>
      </c>
      <c r="E15" s="1" t="s">
        <v>47</v>
      </c>
    </row>
    <row r="16" spans="1:11" x14ac:dyDescent="0.3">
      <c r="A16" s="1" t="s">
        <v>48</v>
      </c>
      <c r="B16" s="6">
        <f>AVERAGE([2]TrRoad_emi!$Q$48:$Q$49)</f>
        <v>2.8248364181639909</v>
      </c>
      <c r="C16" s="1" t="s">
        <v>62</v>
      </c>
      <c r="D16" s="28">
        <f>B16*1000/11630</f>
        <v>0.24289221136405767</v>
      </c>
      <c r="E16" s="1" t="s">
        <v>47</v>
      </c>
    </row>
    <row r="17" spans="1:5" x14ac:dyDescent="0.3">
      <c r="A17" s="1" t="s">
        <v>65</v>
      </c>
      <c r="B17" s="6">
        <v>0.35199999999999998</v>
      </c>
      <c r="C17" s="1" t="s">
        <v>47</v>
      </c>
      <c r="D17" s="2">
        <f>B17</f>
        <v>0.35199999999999998</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84.010038549181957</v>
      </c>
      <c r="C20" s="68" t="s">
        <v>59</v>
      </c>
      <c r="D20" s="3" t="s">
        <v>7</v>
      </c>
      <c r="E20" s="1"/>
    </row>
    <row r="21" spans="1:5" x14ac:dyDescent="0.3">
      <c r="A21" s="1" t="s">
        <v>51</v>
      </c>
      <c r="B21" s="6">
        <f>[2]TrRail_act!$Q$63</f>
        <v>105.01254818647745</v>
      </c>
      <c r="C21" s="69"/>
      <c r="D21" s="3" t="s">
        <v>7</v>
      </c>
      <c r="E21" s="1"/>
    </row>
    <row r="22" spans="1:5" x14ac:dyDescent="0.3">
      <c r="A22" s="1" t="s">
        <v>52</v>
      </c>
      <c r="B22" s="6">
        <f>[2]TrRail_act!$Q$66</f>
        <v>0</v>
      </c>
      <c r="C22" s="70"/>
      <c r="D22" s="3" t="s">
        <v>7</v>
      </c>
      <c r="E22" s="1"/>
    </row>
    <row r="23" spans="1:5" x14ac:dyDescent="0.3">
      <c r="A23" s="65" t="s">
        <v>53</v>
      </c>
      <c r="B23" s="66"/>
      <c r="C23" s="66"/>
      <c r="D23" s="66"/>
      <c r="E23" s="67"/>
    </row>
    <row r="24" spans="1:5" x14ac:dyDescent="0.3">
      <c r="A24" s="1" t="s">
        <v>50</v>
      </c>
      <c r="B24" s="6">
        <f>[2]TrRail_ene!$Q$31</f>
        <v>30.850529573351626</v>
      </c>
      <c r="C24" s="71" t="s">
        <v>60</v>
      </c>
      <c r="D24" s="2">
        <f>B24*11.63/100</f>
        <v>3.5879165893807943</v>
      </c>
      <c r="E24" s="71" t="s">
        <v>41</v>
      </c>
    </row>
    <row r="25" spans="1:5" x14ac:dyDescent="0.3">
      <c r="A25" s="1" t="s">
        <v>144</v>
      </c>
      <c r="B25" s="6">
        <f>[2]TrRail_ene!$Q$33</f>
        <v>246.96052216720824</v>
      </c>
      <c r="C25" s="72"/>
      <c r="D25" s="27">
        <f t="shared" ref="D25:D27" si="3">B25*11.63/100</f>
        <v>28.72150872804632</v>
      </c>
      <c r="E25" s="72"/>
    </row>
    <row r="26" spans="1:5" x14ac:dyDescent="0.3">
      <c r="A26" s="1" t="s">
        <v>51</v>
      </c>
      <c r="B26" s="6">
        <f>[2]TrRail_ene!$Q$34</f>
        <v>114.72518213498233</v>
      </c>
      <c r="C26" s="72"/>
      <c r="D26" s="27">
        <f t="shared" si="3"/>
        <v>13.342538682298446</v>
      </c>
      <c r="E26" s="72"/>
    </row>
    <row r="27" spans="1:5" x14ac:dyDescent="0.3">
      <c r="A27" s="1" t="s">
        <v>52</v>
      </c>
      <c r="B27" s="6">
        <f>[2]TrRail_ene!$Q$35</f>
        <v>0</v>
      </c>
      <c r="C27" s="73"/>
      <c r="D27" s="2">
        <f t="shared" si="3"/>
        <v>0</v>
      </c>
      <c r="E27" s="73"/>
    </row>
    <row r="28" spans="1:5" x14ac:dyDescent="0.3">
      <c r="A28" s="65" t="s">
        <v>63</v>
      </c>
      <c r="B28" s="66"/>
      <c r="C28" s="66"/>
      <c r="D28" s="66"/>
      <c r="E28" s="67"/>
    </row>
    <row r="29" spans="1:5" x14ac:dyDescent="0.3">
      <c r="A29" s="1" t="s">
        <v>65</v>
      </c>
      <c r="B29" s="26">
        <f>B17</f>
        <v>0.35199999999999998</v>
      </c>
      <c r="C29" s="1" t="s">
        <v>47</v>
      </c>
      <c r="D29" s="2">
        <f>B29</f>
        <v>0.35199999999999998</v>
      </c>
      <c r="E29" s="1" t="s">
        <v>47</v>
      </c>
    </row>
    <row r="30" spans="1:5" x14ac:dyDescent="0.3">
      <c r="A30" s="62" t="s">
        <v>54</v>
      </c>
      <c r="B30" s="63"/>
      <c r="C30" s="63"/>
      <c r="D30" s="63"/>
      <c r="E30" s="64"/>
    </row>
    <row r="31" spans="1:5" x14ac:dyDescent="0.3">
      <c r="A31" s="1" t="s">
        <v>68</v>
      </c>
      <c r="B31" s="6">
        <f>[2]TrAvia_act!$Q$69</f>
        <v>133.38876611418047</v>
      </c>
      <c r="C31" s="1" t="s">
        <v>67</v>
      </c>
      <c r="D31" s="3" t="s">
        <v>7</v>
      </c>
      <c r="E31" s="1"/>
    </row>
    <row r="32" spans="1:5" x14ac:dyDescent="0.3">
      <c r="A32" s="1" t="s">
        <v>72</v>
      </c>
      <c r="B32" s="6">
        <f>[2]TrAvia_ene!$Q$37</f>
        <v>3130.849050535176</v>
      </c>
      <c r="C32" s="1" t="s">
        <v>69</v>
      </c>
      <c r="D32" s="28">
        <f>B32*11.63*10^(-3)/B31</f>
        <v>0.27297482028250952</v>
      </c>
      <c r="E32" s="1" t="s">
        <v>55</v>
      </c>
    </row>
    <row r="33" spans="1:5" x14ac:dyDescent="0.3">
      <c r="A33" s="1" t="s">
        <v>71</v>
      </c>
      <c r="B33" s="6">
        <f>[2]TrAvia_emi!$Q$41</f>
        <v>9423.4463316154925</v>
      </c>
      <c r="C33" s="1" t="s">
        <v>70</v>
      </c>
      <c r="D33" s="28">
        <f>B33/B31</f>
        <v>70.646476507242326</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22" zoomScale="70" zoomScaleNormal="70" workbookViewId="0">
      <selection activeCell="A49" sqref="A49:C51"/>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0.35199999999999998</v>
      </c>
    </row>
    <row r="4" spans="1:8" x14ac:dyDescent="0.3">
      <c r="A4" t="s">
        <v>87</v>
      </c>
      <c r="B4">
        <f>'Passenger transport data'!D13</f>
        <v>6.0232490514978041</v>
      </c>
      <c r="C4">
        <f>Tabla4[[#This Row],[ENERGY CONSUMPTION PER VEHICLE]]*H7</f>
        <v>0</v>
      </c>
      <c r="G4" t="s">
        <v>165</v>
      </c>
      <c r="H4">
        <f>BUS!C16</f>
        <v>0.25709372312983664</v>
      </c>
    </row>
    <row r="5" spans="1:8" x14ac:dyDescent="0.3">
      <c r="A5" t="s">
        <v>179</v>
      </c>
      <c r="C5">
        <f>Tabla4[[#This Row],[ENERGY CONSUMPTION PER VEHICLE]]*H3</f>
        <v>0</v>
      </c>
      <c r="G5" t="s">
        <v>180</v>
      </c>
      <c r="H5">
        <f>'Passenger transport data'!D15</f>
        <v>65.879188893324482</v>
      </c>
    </row>
    <row r="6" spans="1:8" x14ac:dyDescent="0.3">
      <c r="A6" t="s">
        <v>181</v>
      </c>
      <c r="B6">
        <f>B4</f>
        <v>6.0232490514978041</v>
      </c>
      <c r="C6">
        <f>Tabla4[[#This Row],[ENERGY CONSUMPTION PER VEHICLE]]*H4</f>
        <v>1.5485395239878277</v>
      </c>
      <c r="G6" t="s">
        <v>182</v>
      </c>
      <c r="H6">
        <f>BUS!E5</f>
        <v>0.22800000000000001</v>
      </c>
    </row>
    <row r="7" spans="1:8" x14ac:dyDescent="0.3">
      <c r="A7" t="s">
        <v>191</v>
      </c>
      <c r="C7">
        <f>Tabla4[[#This Row],[ENERGY CONSUMPTION PER VEHICLE]]*H8</f>
        <v>0</v>
      </c>
      <c r="G7" t="s">
        <v>184</v>
      </c>
      <c r="H7">
        <f>BUS!E2</f>
        <v>0</v>
      </c>
    </row>
    <row r="8" spans="1:8" x14ac:dyDescent="0.3">
      <c r="A8" t="s">
        <v>183</v>
      </c>
      <c r="C8">
        <f>Tabla4[[#This Row],[ENERGY CONSUMPTION PER VEHICLE]]*H6</f>
        <v>0</v>
      </c>
      <c r="G8" t="s">
        <v>192</v>
      </c>
      <c r="H8">
        <f>0.5*H3+0.5*H4</f>
        <v>0.30454686156491828</v>
      </c>
    </row>
    <row r="9" spans="1:8" x14ac:dyDescent="0.3">
      <c r="A9" t="s">
        <v>185</v>
      </c>
      <c r="B9">
        <f>'Passenger transport data'!D26</f>
        <v>13.342538682298446</v>
      </c>
      <c r="C9">
        <f>Tabla4[[#This Row],[ENERGY CONSUMPTION PER VEHICLE]]*H3</f>
        <v>4.6965736161690526</v>
      </c>
    </row>
    <row r="10" spans="1:8" x14ac:dyDescent="0.3">
      <c r="A10" t="s">
        <v>146</v>
      </c>
      <c r="B10">
        <f>'Passenger transport data'!D25</f>
        <v>28.72150872804632</v>
      </c>
      <c r="C10">
        <f>Tabla4[[#This Row],[ENERGY CONSUMPTION PER VEHICLE]]*H5</f>
        <v>1892.1496987962314</v>
      </c>
    </row>
    <row r="11" spans="1:8" x14ac:dyDescent="0.3">
      <c r="A11" t="s">
        <v>103</v>
      </c>
      <c r="B11">
        <f>'Passenger transport data'!D27</f>
        <v>0</v>
      </c>
      <c r="C11">
        <f>Tabla4[[#This Row],[ENERGY CONSUMPTION PER VEHICLE]]*H3</f>
        <v>0</v>
      </c>
    </row>
    <row r="12" spans="1:8" x14ac:dyDescent="0.3">
      <c r="A12" t="s">
        <v>186</v>
      </c>
      <c r="B12">
        <f>'Passenger transport data'!D24</f>
        <v>3.5879165893807943</v>
      </c>
      <c r="C12">
        <f>Tabla4[[#This Row],[ENERGY CONSUMPTION PER VEHICLE]]*H3</f>
        <v>1.2629466394620394</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8.2967590341153965</v>
      </c>
      <c r="B17">
        <f>B4/Tabla5[[#This Row],[LEVEL OF OCCUPANCY]]</f>
        <v>0.7259761343834189</v>
      </c>
      <c r="C17">
        <f>C4/Tabla5[[#This Row],[LEVEL OF OCCUPANCY]]</f>
        <v>0</v>
      </c>
    </row>
    <row r="18" spans="1:3" x14ac:dyDescent="0.3">
      <c r="A18" s="37">
        <f>'Passenger transport data'!I5</f>
        <v>26.090437214199358</v>
      </c>
      <c r="B18">
        <f>B4/Tabla5[[#This Row],[LEVEL OF OCCUPANCY]]</f>
        <v>0.23086041073392724</v>
      </c>
      <c r="C18">
        <f>C4/Tabla5[[#This Row],[LEVEL OF OCCUPANCY]]</f>
        <v>0</v>
      </c>
    </row>
    <row r="19" spans="1:3" x14ac:dyDescent="0.3">
      <c r="A19" s="37">
        <f>'Passenger transport data'!J5</f>
        <v>43.88411539428332</v>
      </c>
      <c r="B19">
        <f>B4/Tabla5[[#This Row],[LEVEL OF OCCUPANCY]]</f>
        <v>0.13725351411053938</v>
      </c>
      <c r="C19">
        <f>C4/Tabla5[[#This Row],[LEVEL OF OCCUPANCY]]</f>
        <v>0</v>
      </c>
    </row>
    <row r="20" spans="1:3" x14ac:dyDescent="0.3">
      <c r="A20" t="s">
        <v>179</v>
      </c>
    </row>
    <row r="21" spans="1:3" x14ac:dyDescent="0.3">
      <c r="A21" s="37">
        <f>A17</f>
        <v>8.2967590341153965</v>
      </c>
      <c r="B21">
        <f>B5/Tabla5[[#This Row],[LEVEL OF OCCUPANCY]]</f>
        <v>0</v>
      </c>
      <c r="C21">
        <f>C5/Tabla5[[#This Row],[LEVEL OF OCCUPANCY]]</f>
        <v>0</v>
      </c>
    </row>
    <row r="22" spans="1:3" x14ac:dyDescent="0.3">
      <c r="A22" s="37">
        <f>A18</f>
        <v>26.090437214199358</v>
      </c>
      <c r="B22">
        <f>B5/Tabla5[[#This Row],[LEVEL OF OCCUPANCY]]</f>
        <v>0</v>
      </c>
      <c r="C22">
        <f>C5/Tabla5[[#This Row],[LEVEL OF OCCUPANCY]]</f>
        <v>0</v>
      </c>
    </row>
    <row r="23" spans="1:3" x14ac:dyDescent="0.3">
      <c r="A23" s="37">
        <f>A19</f>
        <v>43.88411539428332</v>
      </c>
      <c r="B23">
        <f>B5/Tabla5[[#This Row],[LEVEL OF OCCUPANCY]]</f>
        <v>0</v>
      </c>
      <c r="C23">
        <f>C5/Tabla5[[#This Row],[LEVEL OF OCCUPANCY]]</f>
        <v>0</v>
      </c>
    </row>
    <row r="24" spans="1:3" x14ac:dyDescent="0.3">
      <c r="A24" t="s">
        <v>181</v>
      </c>
    </row>
    <row r="25" spans="1:3" x14ac:dyDescent="0.3">
      <c r="A25" s="37">
        <f>A17</f>
        <v>8.2967590341153965</v>
      </c>
      <c r="B25">
        <f>B6/Tabla5[[#This Row],[LEVEL OF OCCUPANCY]]</f>
        <v>0.7259761343834189</v>
      </c>
      <c r="C25">
        <f>C6/Tabla5[[#This Row],[LEVEL OF OCCUPANCY]]</f>
        <v>0.18664390729203978</v>
      </c>
    </row>
    <row r="26" spans="1:3" x14ac:dyDescent="0.3">
      <c r="A26" s="37">
        <f>A18</f>
        <v>26.090437214199358</v>
      </c>
      <c r="B26">
        <f>B6/Tabla5[[#This Row],[LEVEL OF OCCUPANCY]]</f>
        <v>0.23086041073392724</v>
      </c>
      <c r="C26">
        <f>C6/Tabla5[[#This Row],[LEVEL OF OCCUPANCY]]</f>
        <v>5.935276251886866E-2</v>
      </c>
    </row>
    <row r="27" spans="1:3" x14ac:dyDescent="0.3">
      <c r="A27" s="37">
        <f>A19</f>
        <v>43.88411539428332</v>
      </c>
      <c r="B27">
        <f>B6/Tabla5[[#This Row],[LEVEL OF OCCUPANCY]]</f>
        <v>0.13725351411053938</v>
      </c>
      <c r="C27">
        <f>C6/Tabla5[[#This Row],[LEVEL OF OCCUPANCY]]</f>
        <v>3.5287016955332137E-2</v>
      </c>
    </row>
    <row r="28" spans="1:3" x14ac:dyDescent="0.3">
      <c r="A28" s="37" t="s">
        <v>183</v>
      </c>
    </row>
    <row r="29" spans="1:3" x14ac:dyDescent="0.3">
      <c r="A29" s="37">
        <f>A17</f>
        <v>8.2967590341153965</v>
      </c>
      <c r="B29">
        <f>B8/Tabla5[[#This Row],[LEVEL OF OCCUPANCY]]</f>
        <v>0</v>
      </c>
      <c r="C29">
        <f>C8/Tabla5[[#This Row],[LEVEL OF OCCUPANCY]]</f>
        <v>0</v>
      </c>
    </row>
    <row r="30" spans="1:3" x14ac:dyDescent="0.3">
      <c r="A30" s="37">
        <f>A18</f>
        <v>26.090437214199358</v>
      </c>
      <c r="B30">
        <f>B8/Tabla5[[#This Row],[LEVEL OF OCCUPANCY]]</f>
        <v>0</v>
      </c>
      <c r="C30">
        <f>C8/Tabla5[[#This Row],[LEVEL OF OCCUPANCY]]</f>
        <v>0</v>
      </c>
    </row>
    <row r="31" spans="1:3" x14ac:dyDescent="0.3">
      <c r="A31" s="37">
        <f>A19</f>
        <v>43.88411539428332</v>
      </c>
      <c r="B31">
        <f>B8/Tabla5[[#This Row],[LEVEL OF OCCUPANCY]]</f>
        <v>0</v>
      </c>
      <c r="C31">
        <f>C8/Tabla5[[#This Row],[LEVEL OF OCCUPANCY]]</f>
        <v>0</v>
      </c>
    </row>
    <row r="32" spans="1:3" x14ac:dyDescent="0.3">
      <c r="A32" s="37" t="s">
        <v>191</v>
      </c>
    </row>
    <row r="33" spans="1:3" x14ac:dyDescent="0.3">
      <c r="A33" s="37">
        <f>A17</f>
        <v>8.2967590341153965</v>
      </c>
      <c r="B33">
        <f>B7/Tabla5[[#This Row],[LEVEL OF OCCUPANCY]]</f>
        <v>0</v>
      </c>
      <c r="C33">
        <f>C7/Tabla5[[#This Row],[LEVEL OF OCCUPANCY]]</f>
        <v>0</v>
      </c>
    </row>
    <row r="34" spans="1:3" x14ac:dyDescent="0.3">
      <c r="A34" s="37">
        <f>A18</f>
        <v>26.090437214199358</v>
      </c>
      <c r="B34">
        <f>B7/Tabla5[[#This Row],[LEVEL OF OCCUPANCY]]</f>
        <v>0</v>
      </c>
      <c r="C34">
        <f>C7/Tabla5[[#This Row],[LEVEL OF OCCUPANCY]]</f>
        <v>0</v>
      </c>
    </row>
    <row r="35" spans="1:3" x14ac:dyDescent="0.3">
      <c r="A35" s="37">
        <f>A19</f>
        <v>43.88411539428332</v>
      </c>
      <c r="B35">
        <f>B7/Tabla5[[#This Row],[LEVEL OF OCCUPANCY]]</f>
        <v>0</v>
      </c>
      <c r="C35">
        <f>C7/Tabla5[[#This Row],[LEVEL OF OCCUPANCY]]</f>
        <v>0</v>
      </c>
    </row>
    <row r="36" spans="1:3" x14ac:dyDescent="0.3">
      <c r="A36" t="s">
        <v>185</v>
      </c>
    </row>
    <row r="37" spans="1:3" x14ac:dyDescent="0.3">
      <c r="A37" s="37">
        <f>'Passenger transport data'!H7</f>
        <v>33.393990323299825</v>
      </c>
      <c r="B37">
        <f>B9/Tabla5[[#This Row],[LEVEL OF OCCUPANCY]]</f>
        <v>0.39954909710173275</v>
      </c>
      <c r="C37">
        <f>C9/Tabla5[[#This Row],[LEVEL OF OCCUPANCY]]</f>
        <v>0.14064128217980992</v>
      </c>
    </row>
    <row r="38" spans="1:3" x14ac:dyDescent="0.3">
      <c r="A38" s="37">
        <f>'Passenger transport data'!I7</f>
        <v>105.01254818647745</v>
      </c>
      <c r="B38">
        <f>B9/Tabla5[[#This Row],[LEVEL OF OCCUPANCY]]</f>
        <v>0.12705661287835102</v>
      </c>
      <c r="C38">
        <f>C9/Tabla5[[#This Row],[LEVEL OF OCCUPANCY]]</f>
        <v>4.4723927733179548E-2</v>
      </c>
    </row>
    <row r="39" spans="1:3" x14ac:dyDescent="0.3">
      <c r="A39" s="37">
        <f>'Passenger transport data'!J7</f>
        <v>176.63110604965507</v>
      </c>
      <c r="B39">
        <f>B9/Tabla5[[#This Row],[LEVEL OF OCCUPANCY]]</f>
        <v>7.5539008845630806E-2</v>
      </c>
      <c r="C39">
        <f>C9/Tabla5[[#This Row],[LEVEL OF OCCUPANCY]]</f>
        <v>2.6589731113662037E-2</v>
      </c>
    </row>
    <row r="40" spans="1:3" x14ac:dyDescent="0.3">
      <c r="A40" t="s">
        <v>146</v>
      </c>
    </row>
    <row r="41" spans="1:3" x14ac:dyDescent="0.3">
      <c r="A41" s="37">
        <f>A37</f>
        <v>33.393990323299825</v>
      </c>
      <c r="B41">
        <f>B10/Tabla5[[#This Row],[LEVEL OF OCCUPANCY]]</f>
        <v>0.86008016562209411</v>
      </c>
      <c r="C41">
        <f>C10/Tabla5[[#This Row],[LEVEL OF OCCUPANCY]]</f>
        <v>56.661383694419747</v>
      </c>
    </row>
    <row r="42" spans="1:3" x14ac:dyDescent="0.3">
      <c r="A42" s="37">
        <f>A38</f>
        <v>105.01254818647745</v>
      </c>
      <c r="B42">
        <f>B10/Tabla5[[#This Row],[LEVEL OF OCCUPANCY]]</f>
        <v>0.27350549266782587</v>
      </c>
      <c r="C42">
        <f>C10/Tabla5[[#This Row],[LEVEL OF OCCUPANCY]]</f>
        <v>18.018320014825477</v>
      </c>
    </row>
    <row r="43" spans="1:3" x14ac:dyDescent="0.3">
      <c r="A43" s="37">
        <f>A39</f>
        <v>176.63110604965507</v>
      </c>
      <c r="B43">
        <f>B10/Tabla5[[#This Row],[LEVEL OF OCCUPANCY]]</f>
        <v>0.16260730836374904</v>
      </c>
      <c r="C43">
        <f>C10/Tabla5[[#This Row],[LEVEL OF OCCUPANCY]]</f>
        <v>10.712437583130486</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26.715192258639863</v>
      </c>
      <c r="B49">
        <f>B12/Tabla5[[#This Row],[LEVEL OF OCCUPANCY]]</f>
        <v>0.13430248057527788</v>
      </c>
      <c r="C49">
        <f>C12/Tabla5[[#This Row],[LEVEL OF OCCUPANCY]]</f>
        <v>4.7274473162497811E-2</v>
      </c>
    </row>
    <row r="50" spans="1:3" x14ac:dyDescent="0.3">
      <c r="A50" s="37">
        <f>'Passenger transport data'!I6</f>
        <v>84.010038549181957</v>
      </c>
      <c r="B50">
        <f>B12/Tabla5[[#This Row],[LEVEL OF OCCUPANCY]]</f>
        <v>4.2708188822938371E-2</v>
      </c>
      <c r="C50">
        <f>C12/Tabla5[[#This Row],[LEVEL OF OCCUPANCY]]</f>
        <v>1.5033282465674303E-2</v>
      </c>
    </row>
    <row r="51" spans="1:3" x14ac:dyDescent="0.3">
      <c r="A51" s="37">
        <f>'Passenger transport data'!J6</f>
        <v>141.30488483972402</v>
      </c>
      <c r="B51">
        <f>B12/Tabla5[[#This Row],[LEVEL OF OCCUPANCY]]</f>
        <v>2.5391313212210689E-2</v>
      </c>
      <c r="C51">
        <f>C12/Tabla5[[#This Row],[LEVEL OF OCCUPANCY]]</f>
        <v>8.9377422506981604E-3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E2">
        <f>(Tabla1[[#This Row],[% fuel used for buses]]*C10+C3*((C11+C10)/2)+C4*((C12+C13+C14)/3)+C5*C15+C6*C16)/100</f>
        <v>0</v>
      </c>
      <c r="F2" t="s">
        <v>47</v>
      </c>
    </row>
    <row r="3" spans="2:6" x14ac:dyDescent="0.3">
      <c r="B3" t="s">
        <v>161</v>
      </c>
    </row>
    <row r="4" spans="2:6" x14ac:dyDescent="0.3">
      <c r="B4" t="s">
        <v>162</v>
      </c>
      <c r="E4" t="s">
        <v>163</v>
      </c>
    </row>
    <row r="5" spans="2:6" x14ac:dyDescent="0.3">
      <c r="B5" t="s">
        <v>164</v>
      </c>
      <c r="E5">
        <f>(C12+C13+C14)/3</f>
        <v>0.22800000000000001</v>
      </c>
      <c r="F5" t="s">
        <v>47</v>
      </c>
    </row>
    <row r="6" spans="2:6" x14ac:dyDescent="0.3">
      <c r="B6" t="s">
        <v>165</v>
      </c>
    </row>
    <row r="9" spans="2:6" x14ac:dyDescent="0.3">
      <c r="B9" t="s">
        <v>166</v>
      </c>
      <c r="C9" t="s">
        <v>167</v>
      </c>
    </row>
    <row r="10" spans="2:6" x14ac:dyDescent="0.3">
      <c r="B10" t="s">
        <v>168</v>
      </c>
      <c r="C10">
        <f>'Passenger transport data'!D17</f>
        <v>0.35199999999999998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2.99*1000/11630</f>
        <v>0.25709372312983664</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239.89681857265694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242.89221136405766</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257.09372312983663</v>
      </c>
      <c r="D8" s="22" t="s">
        <v>108</v>
      </c>
      <c r="E8" s="22" t="s">
        <v>147</v>
      </c>
      <c r="F8" s="22">
        <f>BUS!C16*1000</f>
        <v>257.09372312983663</v>
      </c>
      <c r="G8" s="22" t="s">
        <v>108</v>
      </c>
      <c r="H8" s="21" t="s">
        <v>131</v>
      </c>
      <c r="I8" s="22">
        <f>BUS!C10*1000</f>
        <v>352</v>
      </c>
      <c r="J8" s="22" t="s">
        <v>108</v>
      </c>
      <c r="K8" s="43">
        <f>BUS!E2*1000</f>
        <v>0</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6.0232490514978041</v>
      </c>
      <c r="G11" s="82"/>
      <c r="H11" s="30">
        <f>F11/A11</f>
        <v>6.0232490514978041</v>
      </c>
      <c r="I11" s="1">
        <v>0</v>
      </c>
      <c r="J11" s="1">
        <f>I$8*F11</f>
        <v>2120.1836661272268</v>
      </c>
      <c r="K11" s="30">
        <f>J11/A11</f>
        <v>2120.1836661272268</v>
      </c>
    </row>
    <row r="12" spans="1:13" x14ac:dyDescent="0.3">
      <c r="A12" s="18">
        <f>'Passenger transport data'!H5</f>
        <v>8.2967590341153965</v>
      </c>
      <c r="B12" s="1">
        <f>C$7*A12</f>
        <v>663.74072272923172</v>
      </c>
      <c r="C12" s="82">
        <f>I$4*B12/100</f>
        <v>5.6417961431984701E-2</v>
      </c>
      <c r="D12" s="82"/>
      <c r="E12" s="82"/>
      <c r="F12" s="82">
        <f>F$11+C12</f>
        <v>6.0796670129297885</v>
      </c>
      <c r="G12" s="82"/>
      <c r="H12" s="27">
        <f t="shared" ref="H12:H14" si="0">F12/A12</f>
        <v>0.73277613438341893</v>
      </c>
      <c r="I12" s="1">
        <f>I$6*B12</f>
        <v>18.584740236418487</v>
      </c>
      <c r="J12" s="1">
        <f>F12*(I12+J$11)</f>
        <v>13002.999728465467</v>
      </c>
      <c r="K12" s="27">
        <f>J12/A12</f>
        <v>1567.2384451565372</v>
      </c>
    </row>
    <row r="13" spans="1:13" x14ac:dyDescent="0.3">
      <c r="A13" s="18">
        <f>'Passenger transport data'!I5</f>
        <v>26.090437214199358</v>
      </c>
      <c r="B13" s="1">
        <f t="shared" ref="B13:B14" si="1">C$7*A13</f>
        <v>2087.2349771359486</v>
      </c>
      <c r="C13" s="82">
        <f t="shared" ref="C13:C14" si="2">I$4*B13/100</f>
        <v>0.17741497305655562</v>
      </c>
      <c r="D13" s="82"/>
      <c r="E13" s="82"/>
      <c r="F13" s="82">
        <f t="shared" ref="F13:F14" si="3">F$11+C13</f>
        <v>6.2006640245543601</v>
      </c>
      <c r="G13" s="82"/>
      <c r="H13" s="27">
        <f t="shared" si="0"/>
        <v>0.23766041073392724</v>
      </c>
      <c r="I13" s="1">
        <f t="shared" ref="I13:I14" si="4">I$6*B13</f>
        <v>58.442579359806558</v>
      </c>
      <c r="J13" s="1">
        <f>F13*(I13+J$11)</f>
        <v>13508.929383341383</v>
      </c>
      <c r="K13" s="27">
        <f>J13/A13</f>
        <v>517.77320833816214</v>
      </c>
    </row>
    <row r="14" spans="1:13" x14ac:dyDescent="0.3">
      <c r="A14" s="18">
        <f>'Passenger transport data'!J5</f>
        <v>43.88411539428332</v>
      </c>
      <c r="B14" s="1">
        <f t="shared" si="1"/>
        <v>3510.7292315426657</v>
      </c>
      <c r="C14" s="82">
        <f t="shared" si="2"/>
        <v>0.29841198468112662</v>
      </c>
      <c r="D14" s="82"/>
      <c r="E14" s="82"/>
      <c r="F14" s="82">
        <f t="shared" si="3"/>
        <v>6.3216610361789307</v>
      </c>
      <c r="G14" s="82"/>
      <c r="H14" s="27">
        <f t="shared" si="0"/>
        <v>0.14405351411053938</v>
      </c>
      <c r="I14" s="1">
        <f t="shared" si="4"/>
        <v>98.300418483194633</v>
      </c>
      <c r="J14" s="1">
        <f>F14*(I14+J$11)</f>
        <v>14024.504397064784</v>
      </c>
      <c r="K14" s="27">
        <f>J14/A14</f>
        <v>319.58042838643439</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6.0232490514978041</v>
      </c>
      <c r="G16" s="82"/>
      <c r="H16" s="30">
        <f>F16/A16</f>
        <v>6.0232490514978041</v>
      </c>
      <c r="I16" s="1">
        <v>0</v>
      </c>
      <c r="J16" s="1">
        <f>F16*(0.5*C$8+0.5*I$8)</f>
        <v>1834.3615950575274</v>
      </c>
      <c r="K16" s="30">
        <f>J16/A16</f>
        <v>1834.3615950575274</v>
      </c>
    </row>
    <row r="17" spans="1:11" x14ac:dyDescent="0.3">
      <c r="A17" s="18">
        <f>'Passenger transport data'!H5</f>
        <v>8.2967590341153965</v>
      </c>
      <c r="B17" s="1">
        <f>C$7*A17</f>
        <v>663.74072272923172</v>
      </c>
      <c r="C17" s="76">
        <f>B17*(0.5*I$4+0.5*C$5)/100</f>
        <v>0.1609571252618387</v>
      </c>
      <c r="D17" s="77"/>
      <c r="E17" s="78"/>
      <c r="F17" s="76">
        <f>F$16+C17</f>
        <v>6.184206176759643</v>
      </c>
      <c r="G17" s="78"/>
      <c r="H17" s="27">
        <f>F17/A17</f>
        <v>0.74537613438341899</v>
      </c>
      <c r="I17" s="1">
        <f>B17*(0.5*C$6+0.5*I$6)/100</f>
        <v>0.42479406254670826</v>
      </c>
      <c r="J17" s="1">
        <f>F17*(I17+J$16)</f>
        <v>11346.697320630885</v>
      </c>
      <c r="K17" s="27">
        <f>J17/A17</f>
        <v>1367.6059861416325</v>
      </c>
    </row>
    <row r="18" spans="1:11" x14ac:dyDescent="0.3">
      <c r="A18" s="18">
        <f>'Passenger transport data'!I5</f>
        <v>26.090437214199358</v>
      </c>
      <c r="B18" s="1">
        <f t="shared" ref="B18:B19" si="5">C$7*A18</f>
        <v>2087.2349771359486</v>
      </c>
      <c r="C18" s="76">
        <f t="shared" ref="C18:C19" si="6">B18*(0.5*I$4+0.5*C$5)/100</f>
        <v>0.50615448195546753</v>
      </c>
      <c r="D18" s="77"/>
      <c r="E18" s="78"/>
      <c r="F18" s="76">
        <f t="shared" ref="F18:F19" si="7">F$16+C18</f>
        <v>6.5294035334532712</v>
      </c>
      <c r="G18" s="78"/>
      <c r="H18" s="27">
        <f t="shared" ref="H18:H19" si="8">F18/A18</f>
        <v>0.25026041073392724</v>
      </c>
      <c r="I18" s="1">
        <f t="shared" ref="I18:I19" si="9">B18*(0.5*C$6+0.5*I$6)/100</f>
        <v>1.335830385367007</v>
      </c>
      <c r="J18" s="1">
        <f t="shared" ref="J18:J19" si="10">F18*(I18+J$16)</f>
        <v>11986.009256037907</v>
      </c>
      <c r="K18" s="27">
        <f t="shared" ref="K18:K19" si="11">J18/A18</f>
        <v>459.4023916745515</v>
      </c>
    </row>
    <row r="19" spans="1:11" x14ac:dyDescent="0.3">
      <c r="A19" s="18">
        <f>'Passenger transport data'!J5</f>
        <v>43.88411539428332</v>
      </c>
      <c r="B19" s="1">
        <f t="shared" si="5"/>
        <v>3510.7292315426657</v>
      </c>
      <c r="C19" s="76">
        <f t="shared" si="6"/>
        <v>0.85135183864909647</v>
      </c>
      <c r="D19" s="77"/>
      <c r="E19" s="78"/>
      <c r="F19" s="76">
        <f t="shared" si="7"/>
        <v>6.8746008901469002</v>
      </c>
      <c r="G19" s="78"/>
      <c r="H19" s="27">
        <f t="shared" si="8"/>
        <v>0.15665351411053938</v>
      </c>
      <c r="I19" s="1">
        <f t="shared" si="9"/>
        <v>2.2468667081873064</v>
      </c>
      <c r="J19" s="1">
        <f t="shared" si="10"/>
        <v>12625.950166105911</v>
      </c>
      <c r="K19" s="27">
        <f t="shared" si="11"/>
        <v>287.7111695807514</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6.0232490514978041</v>
      </c>
      <c r="G21" s="82"/>
      <c r="H21" s="30">
        <f>F21/A21</f>
        <v>6.0232490514978041</v>
      </c>
      <c r="I21" s="1">
        <v>0</v>
      </c>
      <c r="J21" s="1">
        <f>F21*K$6</f>
        <v>1373.3007837414993</v>
      </c>
      <c r="K21" s="30">
        <f>J21/A21</f>
        <v>1373.3007837414993</v>
      </c>
    </row>
    <row r="22" spans="1:11" x14ac:dyDescent="0.3">
      <c r="A22" s="18">
        <f>'Passenger transport data'!H5</f>
        <v>8.2967590341153965</v>
      </c>
      <c r="B22" s="1">
        <f>C$7*A22</f>
        <v>663.74072272923172</v>
      </c>
      <c r="C22" s="76">
        <f>B22*C$5/100</f>
        <v>0.26549628909169271</v>
      </c>
      <c r="D22" s="77"/>
      <c r="E22" s="78"/>
      <c r="F22" s="79">
        <f>F$21+C22</f>
        <v>6.2887453405894966</v>
      </c>
      <c r="G22" s="80"/>
      <c r="H22" s="27">
        <f t="shared" ref="H22:H24" si="12">F22/A22</f>
        <v>0.75797613438341893</v>
      </c>
      <c r="I22" s="1">
        <f>C$6*B22</f>
        <v>66.374072272923172</v>
      </c>
      <c r="J22" s="1">
        <f>F22*(I22+J$21)</f>
        <v>9053.7485427245538</v>
      </c>
      <c r="K22" s="27">
        <f t="shared" ref="K22:K24" si="13">J22/A22</f>
        <v>1091.2391821308172</v>
      </c>
    </row>
    <row r="23" spans="1:11" x14ac:dyDescent="0.3">
      <c r="A23" s="18">
        <f>'Passenger transport data'!I5</f>
        <v>26.090437214199358</v>
      </c>
      <c r="B23" s="1">
        <f t="shared" ref="B23:B24" si="14">C$7*A23</f>
        <v>2087.2349771359486</v>
      </c>
      <c r="C23" s="76">
        <f t="shared" ref="C23:C24" si="15">B23*C$5/100</f>
        <v>0.83489399085437954</v>
      </c>
      <c r="D23" s="77"/>
      <c r="E23" s="78"/>
      <c r="F23" s="76">
        <f>F$21+C23</f>
        <v>6.8581430423521841</v>
      </c>
      <c r="G23" s="78"/>
      <c r="H23" s="27">
        <f t="shared" si="12"/>
        <v>0.26286041073392724</v>
      </c>
      <c r="I23" s="1">
        <f t="shared" ref="I23:I24" si="16">C$6*B23</f>
        <v>208.72349771359487</v>
      </c>
      <c r="J23" s="1">
        <f t="shared" ref="J23:J24" si="17">F23*(I23+J$21)</f>
        <v>10849.748818693468</v>
      </c>
      <c r="K23" s="27">
        <f t="shared" si="13"/>
        <v>415.85155241433222</v>
      </c>
    </row>
    <row r="24" spans="1:11" x14ac:dyDescent="0.3">
      <c r="A24" s="18">
        <f>'Passenger transport data'!J5</f>
        <v>43.88411539428332</v>
      </c>
      <c r="B24" s="1">
        <f t="shared" si="14"/>
        <v>3510.7292315426657</v>
      </c>
      <c r="C24" s="76">
        <f t="shared" si="15"/>
        <v>1.4042916926170661</v>
      </c>
      <c r="D24" s="77"/>
      <c r="E24" s="78"/>
      <c r="F24" s="76">
        <f t="shared" ref="F24" si="18">F$21+C24</f>
        <v>7.4275407441148698</v>
      </c>
      <c r="G24" s="78"/>
      <c r="H24" s="27">
        <f t="shared" si="12"/>
        <v>0.16925351411053938</v>
      </c>
      <c r="I24" s="1">
        <f t="shared" si="16"/>
        <v>351.07292315426662</v>
      </c>
      <c r="J24" s="1">
        <f t="shared" si="17"/>
        <v>12807.855966048694</v>
      </c>
      <c r="K24" s="27">
        <f t="shared" si="13"/>
        <v>291.8563095319256</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6.0232490514978041</v>
      </c>
      <c r="G26" s="82"/>
      <c r="H26" s="30">
        <f>F26/A26</f>
        <v>6.0232490514978041</v>
      </c>
      <c r="I26" s="1">
        <v>0</v>
      </c>
      <c r="J26" s="1">
        <f>C$8*F26</f>
        <v>1548.5395239878276</v>
      </c>
      <c r="K26" s="30">
        <f>J26/A26</f>
        <v>1548.5395239878276</v>
      </c>
    </row>
    <row r="27" spans="1:11" x14ac:dyDescent="0.3">
      <c r="A27" s="18">
        <f>'Passenger transport data'!H5</f>
        <v>8.2967590341153965</v>
      </c>
      <c r="B27" s="1">
        <f>C$7*A27</f>
        <v>663.74072272923172</v>
      </c>
      <c r="C27" s="76">
        <f>B27*C$5/100</f>
        <v>0.26549628909169271</v>
      </c>
      <c r="D27" s="77"/>
      <c r="E27" s="78"/>
      <c r="F27" s="79">
        <f>F$26+C27</f>
        <v>6.2887453405894966</v>
      </c>
      <c r="G27" s="80"/>
      <c r="H27" s="27">
        <f>F27/A27</f>
        <v>0.75797613438341893</v>
      </c>
      <c r="I27" s="1">
        <f>C$6*B27</f>
        <v>66.374072272923172</v>
      </c>
      <c r="J27" s="1">
        <f>F27*(I27+J$26)</f>
        <v>10155.780353939423</v>
      </c>
      <c r="K27" s="27">
        <f>J27/A27</f>
        <v>1224.0659650569489</v>
      </c>
    </row>
    <row r="28" spans="1:11" x14ac:dyDescent="0.3">
      <c r="A28" s="18">
        <f>'Passenger transport data'!I5</f>
        <v>26.090437214199358</v>
      </c>
      <c r="B28" s="1">
        <f t="shared" ref="B28:B29" si="19">C$7*A28</f>
        <v>2087.2349771359486</v>
      </c>
      <c r="C28" s="76">
        <f t="shared" ref="C28:C29" si="20">B28*C$5/100</f>
        <v>0.83489399085437954</v>
      </c>
      <c r="D28" s="77"/>
      <c r="E28" s="78"/>
      <c r="F28" s="79">
        <f t="shared" ref="F28:F29" si="21">F$26+C28</f>
        <v>6.8581430423521841</v>
      </c>
      <c r="G28" s="80"/>
      <c r="H28" s="27">
        <f t="shared" ref="H28:H29" si="22">F28/A28</f>
        <v>0.26286041073392724</v>
      </c>
      <c r="I28" s="1">
        <f t="shared" ref="I28:I29" si="23">C$6*B28</f>
        <v>208.72349771359487</v>
      </c>
      <c r="J28" s="1">
        <f t="shared" ref="J28:J29" si="24">F28*(I28+J$26)</f>
        <v>12051.561165864387</v>
      </c>
      <c r="K28" s="27">
        <f t="shared" ref="K28:K29" si="25">J28/A28</f>
        <v>461.91487965197808</v>
      </c>
    </row>
    <row r="29" spans="1:11" x14ac:dyDescent="0.3">
      <c r="A29" s="18">
        <f>'Passenger transport data'!J5</f>
        <v>43.88411539428332</v>
      </c>
      <c r="B29" s="1">
        <f t="shared" si="19"/>
        <v>3510.7292315426657</v>
      </c>
      <c r="C29" s="76">
        <f t="shared" si="20"/>
        <v>1.4042916926170661</v>
      </c>
      <c r="D29" s="77"/>
      <c r="E29" s="78"/>
      <c r="F29" s="79">
        <f t="shared" si="21"/>
        <v>7.4275407441148698</v>
      </c>
      <c r="G29" s="80"/>
      <c r="H29" s="27">
        <f t="shared" si="22"/>
        <v>0.16925351411053938</v>
      </c>
      <c r="I29" s="1">
        <f t="shared" si="23"/>
        <v>351.07292315426662</v>
      </c>
      <c r="J29" s="1">
        <f t="shared" si="24"/>
        <v>14109.448849175658</v>
      </c>
      <c r="K29" s="27">
        <f t="shared" si="25"/>
        <v>321.51608212692065</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6.0232490514978041</v>
      </c>
      <c r="G31" s="82"/>
      <c r="H31" s="30">
        <f>F31/A31</f>
        <v>6.0232490514978041</v>
      </c>
      <c r="I31" s="1">
        <v>0</v>
      </c>
      <c r="J31" s="1">
        <f>K$8*F31</f>
        <v>0</v>
      </c>
      <c r="K31" s="30">
        <f>J31/A31</f>
        <v>0</v>
      </c>
    </row>
    <row r="32" spans="1:11" x14ac:dyDescent="0.3">
      <c r="A32" s="18">
        <f>'Passenger transport data'!H5</f>
        <v>8.2967590341153965</v>
      </c>
      <c r="B32" s="1">
        <f>C$7*A32</f>
        <v>663.74072272923172</v>
      </c>
      <c r="C32" s="76">
        <f>B32*C$5/100</f>
        <v>0.26549628909169271</v>
      </c>
      <c r="D32" s="77"/>
      <c r="E32" s="78"/>
      <c r="F32" s="79">
        <f>F$31+C32</f>
        <v>6.2887453405894966</v>
      </c>
      <c r="G32" s="80"/>
      <c r="H32" s="27">
        <f>F32/A32</f>
        <v>0.75797613438341893</v>
      </c>
      <c r="I32" s="1">
        <f>C$6*B32</f>
        <v>66.374072272923172</v>
      </c>
      <c r="J32" s="1">
        <f>F32*(I32+J$31)</f>
        <v>417.40963774229613</v>
      </c>
      <c r="K32" s="27">
        <f t="shared" ref="K32:K34" si="26">J32/A32</f>
        <v>50.309962724715973</v>
      </c>
    </row>
    <row r="33" spans="1:11" x14ac:dyDescent="0.3">
      <c r="A33" s="18">
        <f>'Passenger transport data'!I5</f>
        <v>26.090437214199358</v>
      </c>
      <c r="B33" s="1">
        <f t="shared" ref="B33:B34" si="27">C$7*A33</f>
        <v>2087.2349771359486</v>
      </c>
      <c r="C33" s="76">
        <f t="shared" ref="C33:C34" si="28">B33*C$5/100</f>
        <v>0.83489399085437954</v>
      </c>
      <c r="D33" s="77"/>
      <c r="E33" s="78"/>
      <c r="F33" s="79">
        <f t="shared" ref="F33:F34" si="29">F$31+C33</f>
        <v>6.8581430423521841</v>
      </c>
      <c r="G33" s="80"/>
      <c r="H33" s="27">
        <f t="shared" ref="H33:H34" si="30">F33/A33</f>
        <v>0.26286041073392724</v>
      </c>
      <c r="I33" s="1">
        <f t="shared" ref="I33:I34" si="31">C$6*B33</f>
        <v>208.72349771359487</v>
      </c>
      <c r="J33" s="1">
        <f t="shared" ref="J33:J34" si="32">F33*(I33+J$31)</f>
        <v>1431.4556036199026</v>
      </c>
      <c r="K33" s="27">
        <f t="shared" si="26"/>
        <v>54.865144338817473</v>
      </c>
    </row>
    <row r="34" spans="1:11" x14ac:dyDescent="0.3">
      <c r="A34" s="18">
        <f>'Passenger transport data'!J5</f>
        <v>43.88411539428332</v>
      </c>
      <c r="B34" s="1">
        <f t="shared" si="27"/>
        <v>3510.7292315426657</v>
      </c>
      <c r="C34" s="76">
        <f t="shared" si="28"/>
        <v>1.4042916926170661</v>
      </c>
      <c r="D34" s="77"/>
      <c r="E34" s="78"/>
      <c r="F34" s="79">
        <f t="shared" si="29"/>
        <v>7.4275407441148698</v>
      </c>
      <c r="G34" s="80"/>
      <c r="H34" s="27">
        <f t="shared" si="30"/>
        <v>0.16925351411053938</v>
      </c>
      <c r="I34" s="1">
        <f t="shared" si="31"/>
        <v>351.07292315426662</v>
      </c>
      <c r="J34" s="1">
        <f t="shared" si="32"/>
        <v>2607.6084408838242</v>
      </c>
      <c r="K34" s="27">
        <f t="shared" si="26"/>
        <v>59.420325952918972</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I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242.89221136405766</v>
      </c>
      <c r="D8" s="22" t="s">
        <v>108</v>
      </c>
      <c r="E8" s="22" t="s">
        <v>147</v>
      </c>
      <c r="F8" s="22">
        <f>'Passenger transport data'!D15*10^3</f>
        <v>65879.188893324477</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0.79961334316700261</v>
      </c>
      <c r="G11" s="98"/>
      <c r="H11" s="27">
        <f>F11/A11</f>
        <v>0.79961334316700261</v>
      </c>
      <c r="I11" s="1">
        <v>0</v>
      </c>
      <c r="J11" s="1">
        <f>C$8*F11</f>
        <v>194.21985315804037</v>
      </c>
      <c r="K11" s="27">
        <f>J11/A11</f>
        <v>194.21985315804037</v>
      </c>
    </row>
    <row r="12" spans="1:11" x14ac:dyDescent="0.3">
      <c r="A12" s="1">
        <v>2</v>
      </c>
      <c r="B12" s="1">
        <f>B11+C$7</f>
        <v>80</v>
      </c>
      <c r="C12" s="82">
        <f>C$5*B12/100</f>
        <v>3.2000000000000001E-2</v>
      </c>
      <c r="D12" s="82"/>
      <c r="E12" s="82"/>
      <c r="F12" s="82">
        <f>F$11+C12</f>
        <v>0.83161334316700264</v>
      </c>
      <c r="G12" s="82"/>
      <c r="H12" s="27">
        <f t="shared" ref="H12:H15" si="0">F12/A12</f>
        <v>0.41580667158350132</v>
      </c>
      <c r="I12" s="1">
        <f>C$6*B12</f>
        <v>8</v>
      </c>
      <c r="J12" s="1">
        <f>F12*(I12+J$11)</f>
        <v>168.16872813949831</v>
      </c>
      <c r="K12" s="27">
        <f t="shared" ref="K12:K15" si="1">J12/A12</f>
        <v>84.084364069749157</v>
      </c>
    </row>
    <row r="13" spans="1:11" x14ac:dyDescent="0.3">
      <c r="A13" s="1">
        <v>3</v>
      </c>
      <c r="B13" s="1">
        <f t="shared" ref="B13:B15" si="2">B12+C$7</f>
        <v>160</v>
      </c>
      <c r="C13" s="82">
        <f>C$5*B13/100</f>
        <v>6.4000000000000001E-2</v>
      </c>
      <c r="D13" s="82"/>
      <c r="E13" s="82"/>
      <c r="F13" s="82">
        <f t="shared" ref="F13:F15" si="3">F$11+C13</f>
        <v>0.86361334316700256</v>
      </c>
      <c r="G13" s="82"/>
      <c r="H13" s="27">
        <f t="shared" si="0"/>
        <v>0.28787111438900087</v>
      </c>
      <c r="I13" s="1">
        <f t="shared" ref="I13:I15" si="4">C$6*B13</f>
        <v>16</v>
      </c>
      <c r="J13" s="1">
        <f t="shared" ref="J13:J15" si="5">F13*(I13+J$11)</f>
        <v>181.54867018589161</v>
      </c>
      <c r="K13" s="27">
        <f t="shared" si="1"/>
        <v>60.516223395297203</v>
      </c>
    </row>
    <row r="14" spans="1:11" x14ac:dyDescent="0.3">
      <c r="A14" s="1">
        <v>4</v>
      </c>
      <c r="B14" s="1">
        <f t="shared" si="2"/>
        <v>240</v>
      </c>
      <c r="C14" s="82">
        <f>C$5*B14/100</f>
        <v>9.6000000000000002E-2</v>
      </c>
      <c r="D14" s="82"/>
      <c r="E14" s="82"/>
      <c r="F14" s="82">
        <f t="shared" si="3"/>
        <v>0.89561334316700258</v>
      </c>
      <c r="G14" s="82"/>
      <c r="H14" s="27">
        <f t="shared" si="0"/>
        <v>0.22390333579175065</v>
      </c>
      <c r="I14" s="1">
        <f t="shared" si="4"/>
        <v>24</v>
      </c>
      <c r="J14" s="1">
        <f t="shared" si="5"/>
        <v>195.44061223228491</v>
      </c>
      <c r="K14" s="27">
        <f t="shared" si="1"/>
        <v>48.860153058071226</v>
      </c>
    </row>
    <row r="15" spans="1:11" x14ac:dyDescent="0.3">
      <c r="A15" s="1">
        <v>5</v>
      </c>
      <c r="B15" s="1">
        <f t="shared" si="2"/>
        <v>320</v>
      </c>
      <c r="C15" s="82">
        <f>C$5*B15/100</f>
        <v>0.128</v>
      </c>
      <c r="D15" s="82"/>
      <c r="E15" s="82"/>
      <c r="F15" s="82">
        <f t="shared" si="3"/>
        <v>0.92761334316700261</v>
      </c>
      <c r="G15" s="82"/>
      <c r="H15" s="27">
        <f t="shared" si="0"/>
        <v>0.18552266863340053</v>
      </c>
      <c r="I15" s="1">
        <f t="shared" si="4"/>
        <v>32</v>
      </c>
      <c r="J15" s="1">
        <f t="shared" si="5"/>
        <v>209.84455427867823</v>
      </c>
      <c r="K15" s="27">
        <f t="shared" si="1"/>
        <v>41.968910855735643</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0.44700954716488972</v>
      </c>
      <c r="G17" s="98"/>
      <c r="H17" s="27">
        <f>F17/A17</f>
        <v>0.44700954716488972</v>
      </c>
      <c r="I17" s="1">
        <v>0</v>
      </c>
      <c r="J17" s="1">
        <f>C$8*F17</f>
        <v>108.57513741172609</v>
      </c>
      <c r="K17" s="27">
        <f>J17/A17</f>
        <v>108.57513741172609</v>
      </c>
    </row>
    <row r="18" spans="1:11" x14ac:dyDescent="0.3">
      <c r="A18" s="1">
        <v>2</v>
      </c>
      <c r="B18" s="1">
        <f>C7+B17</f>
        <v>80</v>
      </c>
      <c r="C18" s="82">
        <f>C$5*B18/100</f>
        <v>3.2000000000000001E-2</v>
      </c>
      <c r="D18" s="82"/>
      <c r="E18" s="82"/>
      <c r="F18" s="82">
        <f>F17+C18</f>
        <v>0.47900954716488975</v>
      </c>
      <c r="G18" s="82"/>
      <c r="H18" s="27">
        <f>F18/A18</f>
        <v>0.23950477358244487</v>
      </c>
      <c r="I18" s="1">
        <f>C6*B18</f>
        <v>8</v>
      </c>
      <c r="J18" s="1">
        <f>F18*(I18+J17)</f>
        <v>55.840603782275714</v>
      </c>
      <c r="K18" s="27">
        <f>J18/A18</f>
        <v>27.920301891137857</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6.0232490514978041</v>
      </c>
      <c r="G20" s="95"/>
      <c r="H20" s="30">
        <f>F20/A20</f>
        <v>6.0232490514978041</v>
      </c>
      <c r="I20" s="1">
        <v>0</v>
      </c>
      <c r="J20" s="1">
        <f>C$8*F20</f>
        <v>1463.0002817147645</v>
      </c>
      <c r="K20" s="1">
        <f>J20/A20</f>
        <v>1463.0002817147645</v>
      </c>
    </row>
    <row r="21" spans="1:11" x14ac:dyDescent="0.3">
      <c r="A21" s="18">
        <f>'Passenger transport data'!H5</f>
        <v>8.2967590341153965</v>
      </c>
      <c r="B21" s="1">
        <f>C$7*A21</f>
        <v>663.74072272923172</v>
      </c>
      <c r="C21" s="76">
        <f>B21*C$5/100</f>
        <v>0.26549628909169271</v>
      </c>
      <c r="D21" s="77"/>
      <c r="E21" s="78"/>
      <c r="F21" s="96">
        <f>F$20+C21</f>
        <v>6.2887453405894966</v>
      </c>
      <c r="G21" s="97"/>
      <c r="H21" s="27">
        <f t="shared" ref="H21:H23" si="6">F21/A21</f>
        <v>0.75797613438341893</v>
      </c>
      <c r="I21" s="1">
        <f>C$6*B21</f>
        <v>66.374072272923172</v>
      </c>
      <c r="J21" s="1">
        <f>F21*(I21+J$20)</f>
        <v>9617.8458426571433</v>
      </c>
      <c r="K21" s="27">
        <f t="shared" ref="K21:K23" si="7">J21/A21</f>
        <v>1159.2292608607261</v>
      </c>
    </row>
    <row r="22" spans="1:11" x14ac:dyDescent="0.3">
      <c r="A22" s="18">
        <f>'Passenger transport data'!I5</f>
        <v>26.090437214199358</v>
      </c>
      <c r="B22" s="1">
        <f t="shared" ref="B22:B23" si="8">C$7*A22</f>
        <v>2087.2349771359486</v>
      </c>
      <c r="C22" s="76">
        <f t="shared" ref="C22:C23" si="9">B22*C$5/100</f>
        <v>0.83489399085437954</v>
      </c>
      <c r="D22" s="77"/>
      <c r="E22" s="78"/>
      <c r="F22" s="76">
        <f>F$20+C22</f>
        <v>6.8581430423521841</v>
      </c>
      <c r="G22" s="78"/>
      <c r="H22" s="27">
        <f t="shared" si="6"/>
        <v>0.26286041073392724</v>
      </c>
      <c r="I22" s="1">
        <f t="shared" ref="I22:I23" si="10">C$6*B22</f>
        <v>208.72349771359487</v>
      </c>
      <c r="J22" s="1">
        <f t="shared" ref="J22:J23" si="11">F22*(I22+J$20)</f>
        <v>11464.9208066213</v>
      </c>
      <c r="K22" s="27">
        <f t="shared" si="7"/>
        <v>439.42999929421171</v>
      </c>
    </row>
    <row r="23" spans="1:11" x14ac:dyDescent="0.3">
      <c r="A23" s="18">
        <f>'Passenger transport data'!J5</f>
        <v>43.88411539428332</v>
      </c>
      <c r="B23" s="1">
        <f t="shared" si="8"/>
        <v>3510.7292315426657</v>
      </c>
      <c r="C23" s="76">
        <f t="shared" si="9"/>
        <v>1.4042916926170661</v>
      </c>
      <c r="D23" s="77"/>
      <c r="E23" s="78"/>
      <c r="F23" s="76">
        <f t="shared" ref="F23" si="12">F$20+C23</f>
        <v>7.4275407441148698</v>
      </c>
      <c r="G23" s="78"/>
      <c r="H23" s="27">
        <f t="shared" si="6"/>
        <v>0.16925351411053938</v>
      </c>
      <c r="I23" s="1">
        <f t="shared" si="10"/>
        <v>351.07292315426662</v>
      </c>
      <c r="J23" s="1">
        <f t="shared" si="11"/>
        <v>13474.102641971769</v>
      </c>
      <c r="K23" s="27">
        <f t="shared" si="7"/>
        <v>307.03826477785191</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1266487.2201689384</v>
      </c>
      <c r="K25" s="30">
        <f>J25/A25</f>
        <v>1266487.2201689384</v>
      </c>
    </row>
    <row r="26" spans="1:11" x14ac:dyDescent="0.3">
      <c r="A26" s="37">
        <f>'Passenger transport data'!H7</f>
        <v>33.393990323299825</v>
      </c>
      <c r="B26" s="1">
        <f>C$7*A26</f>
        <v>2671.5192258639859</v>
      </c>
      <c r="C26" s="76">
        <f>B26*C$5/100</f>
        <v>1.0686076903455943</v>
      </c>
      <c r="D26" s="77"/>
      <c r="E26" s="78"/>
      <c r="F26" s="79">
        <f>F$25+C26</f>
        <v>20.292997690345597</v>
      </c>
      <c r="G26" s="80"/>
      <c r="H26" s="27">
        <f t="shared" ref="H26:H28" si="13">F26/A26</f>
        <v>0.60768412201960376</v>
      </c>
      <c r="I26" s="1">
        <f>C$6*B26</f>
        <v>267.1519225863986</v>
      </c>
      <c r="J26" s="1">
        <f>F26*(I26+J$25)</f>
        <v>25706243.5470885</v>
      </c>
      <c r="K26" s="27">
        <f t="shared" ref="K26:K28" si="14">J26/A26</f>
        <v>769786.51841893268</v>
      </c>
    </row>
    <row r="27" spans="1:11" x14ac:dyDescent="0.3">
      <c r="A27" s="37">
        <f>'Passenger transport data'!I7</f>
        <v>105.01254818647745</v>
      </c>
      <c r="B27" s="1">
        <f t="shared" ref="B27" si="15">C$7*A27</f>
        <v>8401.0038549181954</v>
      </c>
      <c r="C27" s="76">
        <f t="shared" ref="C27:C28" si="16">B27*C$5/100</f>
        <v>3.3604015419672781</v>
      </c>
      <c r="D27" s="77"/>
      <c r="E27" s="78"/>
      <c r="F27" s="79">
        <f t="shared" ref="F27:F28" si="17">F$25+C27</f>
        <v>22.584791541967281</v>
      </c>
      <c r="G27" s="80"/>
      <c r="H27" s="27">
        <f t="shared" si="13"/>
        <v>0.21506755080223397</v>
      </c>
      <c r="I27" s="1">
        <f t="shared" ref="I27" si="18">C$6*B27</f>
        <v>840.10038549181957</v>
      </c>
      <c r="J27" s="1">
        <f t="shared" ref="J27:J28" si="19">F27*(I27+J$25)</f>
        <v>28622323.35016175</v>
      </c>
      <c r="K27" s="27">
        <f t="shared" si="14"/>
        <v>272560.98289639893</v>
      </c>
    </row>
    <row r="28" spans="1:11" x14ac:dyDescent="0.3">
      <c r="A28" s="37">
        <f>'Passenger transport data'!J7</f>
        <v>176.63110604965507</v>
      </c>
      <c r="B28" s="1">
        <f>C$7*A28</f>
        <v>14130.488483972405</v>
      </c>
      <c r="C28" s="76">
        <f t="shared" si="16"/>
        <v>5.6521953935889622</v>
      </c>
      <c r="D28" s="77"/>
      <c r="E28" s="78"/>
      <c r="F28" s="79">
        <f t="shared" si="17"/>
        <v>24.876585393588964</v>
      </c>
      <c r="G28" s="80"/>
      <c r="H28" s="27">
        <f t="shared" si="13"/>
        <v>0.14083920975162542</v>
      </c>
      <c r="I28" s="1">
        <f>C$6*B28</f>
        <v>1413.0488483972406</v>
      </c>
      <c r="J28" s="1">
        <f t="shared" si="19"/>
        <v>31541029.312764172</v>
      </c>
      <c r="K28" s="27">
        <f t="shared" si="14"/>
        <v>178570.07193227485</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opLeftCell="E1" zoomScale="80" zoomScaleNormal="80" workbookViewId="0">
      <selection activeCell="H11" sqref="H11"/>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242.89221136405766</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352</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v>
      </c>
      <c r="G11" s="98"/>
      <c r="H11" s="27">
        <f>F11/A11</f>
        <v>0</v>
      </c>
      <c r="I11" s="1">
        <v>0</v>
      </c>
      <c r="J11" s="1">
        <f>C$8*F11</f>
        <v>0</v>
      </c>
      <c r="K11" s="27">
        <f>J11/A11</f>
        <v>0</v>
      </c>
    </row>
    <row r="12" spans="1:11" x14ac:dyDescent="0.3">
      <c r="A12" s="1">
        <v>2</v>
      </c>
      <c r="B12" s="1">
        <f>B11+C$7</f>
        <v>70</v>
      </c>
      <c r="C12" s="82">
        <f t="shared" ref="C12:C15" si="0">C$4*B12/100</f>
        <v>5.9500000000000004E-3</v>
      </c>
      <c r="D12" s="82"/>
      <c r="E12" s="82"/>
      <c r="F12" s="82">
        <f>F$11+C12</f>
        <v>5.9500000000000004E-3</v>
      </c>
      <c r="G12" s="82"/>
      <c r="H12" s="27">
        <f t="shared" ref="H12:H15" si="1">F12/A12</f>
        <v>2.9750000000000002E-3</v>
      </c>
      <c r="I12" s="1">
        <f>C$6*B12</f>
        <v>1.9599999999999997</v>
      </c>
      <c r="J12" s="1">
        <f>F12*(I12+J$11)</f>
        <v>1.1661999999999999E-2</v>
      </c>
      <c r="K12" s="27">
        <f t="shared" ref="K12:K15" si="2">J12/A12</f>
        <v>5.8309999999999994E-3</v>
      </c>
    </row>
    <row r="13" spans="1:11" x14ac:dyDescent="0.3">
      <c r="A13" s="1">
        <v>3</v>
      </c>
      <c r="B13" s="1">
        <f t="shared" ref="B13:B15" si="3">B12+C$7</f>
        <v>140</v>
      </c>
      <c r="C13" s="82">
        <f t="shared" si="0"/>
        <v>1.1900000000000001E-2</v>
      </c>
      <c r="D13" s="82"/>
      <c r="E13" s="82"/>
      <c r="F13" s="82">
        <f t="shared" ref="F13:F15" si="4">F$11+C13</f>
        <v>1.1900000000000001E-2</v>
      </c>
      <c r="G13" s="82"/>
      <c r="H13" s="27">
        <f t="shared" si="1"/>
        <v>3.966666666666667E-3</v>
      </c>
      <c r="I13" s="1">
        <f t="shared" ref="I13:I15" si="5">C$6*B13</f>
        <v>3.9199999999999995</v>
      </c>
      <c r="J13" s="1">
        <f t="shared" ref="J13:J15" si="6">F13*(I13+J$11)</f>
        <v>4.6647999999999995E-2</v>
      </c>
      <c r="K13" s="27">
        <f t="shared" si="2"/>
        <v>1.5549333333333332E-2</v>
      </c>
    </row>
    <row r="14" spans="1:11" x14ac:dyDescent="0.3">
      <c r="A14" s="1">
        <v>4</v>
      </c>
      <c r="B14" s="1">
        <f t="shared" si="3"/>
        <v>210</v>
      </c>
      <c r="C14" s="82">
        <f t="shared" si="0"/>
        <v>1.7850000000000001E-2</v>
      </c>
      <c r="D14" s="82"/>
      <c r="E14" s="82"/>
      <c r="F14" s="82">
        <f t="shared" si="4"/>
        <v>1.7850000000000001E-2</v>
      </c>
      <c r="G14" s="82"/>
      <c r="H14" s="27">
        <f t="shared" si="1"/>
        <v>4.4625000000000003E-3</v>
      </c>
      <c r="I14" s="1">
        <f t="shared" si="5"/>
        <v>5.879999999999999</v>
      </c>
      <c r="J14" s="1">
        <f t="shared" si="6"/>
        <v>0.104958</v>
      </c>
      <c r="K14" s="27">
        <f t="shared" si="2"/>
        <v>2.6239499999999999E-2</v>
      </c>
    </row>
    <row r="15" spans="1:11" x14ac:dyDescent="0.3">
      <c r="A15" s="1">
        <v>5</v>
      </c>
      <c r="B15" s="1">
        <f t="shared" si="3"/>
        <v>280</v>
      </c>
      <c r="C15" s="82">
        <f t="shared" si="0"/>
        <v>2.3800000000000002E-2</v>
      </c>
      <c r="D15" s="82"/>
      <c r="E15" s="82"/>
      <c r="F15" s="82">
        <f t="shared" si="4"/>
        <v>2.3800000000000002E-2</v>
      </c>
      <c r="G15" s="82"/>
      <c r="H15" s="27">
        <f t="shared" si="1"/>
        <v>4.7600000000000003E-3</v>
      </c>
      <c r="I15" s="1">
        <f t="shared" si="5"/>
        <v>7.839999999999999</v>
      </c>
      <c r="J15" s="1">
        <f t="shared" si="6"/>
        <v>0.18659199999999998</v>
      </c>
      <c r="K15" s="27">
        <f t="shared" si="2"/>
        <v>3.7318399999999995E-2</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v>
      </c>
      <c r="G17" s="95"/>
      <c r="H17" s="27">
        <f>F17/A17</f>
        <v>0</v>
      </c>
      <c r="I17" s="1">
        <v>0</v>
      </c>
      <c r="J17" s="1">
        <f>F17*(0.5*C$8+0.5*F$6)</f>
        <v>0</v>
      </c>
      <c r="K17" s="27">
        <f>J17/A17</f>
        <v>0</v>
      </c>
    </row>
    <row r="18" spans="1:11" x14ac:dyDescent="0.3">
      <c r="A18" s="1">
        <v>2</v>
      </c>
      <c r="B18" s="1">
        <f>C$7+B17</f>
        <v>70</v>
      </c>
      <c r="C18" s="76">
        <f>B18*(0.5*C$4+0.5*'Transport c&amp;e fuel vehicles'!C$5)/100</f>
        <v>1.6975000000000001E-2</v>
      </c>
      <c r="D18" s="77"/>
      <c r="E18" s="78"/>
      <c r="F18" s="76">
        <f>F$17+C18</f>
        <v>1.6975000000000001E-2</v>
      </c>
      <c r="G18" s="78"/>
      <c r="H18" s="27">
        <f t="shared" ref="H18:H21" si="7">F18/A18</f>
        <v>8.4875000000000003E-3</v>
      </c>
      <c r="I18" s="1">
        <f>B18*(0.5*C$6+0.5*'Transport c&amp;e fuel vehicles'!C$6)/100</f>
        <v>4.4800000000000006E-2</v>
      </c>
      <c r="J18" s="1">
        <f>F18*(I18+J$17)</f>
        <v>7.6048000000000012E-4</v>
      </c>
      <c r="K18" s="27">
        <f t="shared" ref="K18:K21" si="8">J18/A18</f>
        <v>3.8024000000000006E-4</v>
      </c>
    </row>
    <row r="19" spans="1:11" x14ac:dyDescent="0.3">
      <c r="A19" s="1">
        <v>3</v>
      </c>
      <c r="B19" s="1">
        <f t="shared" ref="B19:B21" si="9">C$7+B18</f>
        <v>140</v>
      </c>
      <c r="C19" s="76">
        <f>B19*(0.5*C$4+0.5*'Transport c&amp;e fuel vehicles'!C$5)/100</f>
        <v>3.3950000000000001E-2</v>
      </c>
      <c r="D19" s="77"/>
      <c r="E19" s="78"/>
      <c r="F19" s="76">
        <f t="shared" ref="F19:F21" si="10">F$17+C19</f>
        <v>3.3950000000000001E-2</v>
      </c>
      <c r="G19" s="78"/>
      <c r="H19" s="27">
        <f t="shared" si="7"/>
        <v>1.1316666666666668E-2</v>
      </c>
      <c r="I19" s="1">
        <f>B19*(0.5*C$6+0.5*'Transport c&amp;e fuel vehicles'!C$6)/100</f>
        <v>8.9600000000000013E-2</v>
      </c>
      <c r="J19" s="1">
        <f t="shared" ref="J19:J21" si="11">F19*(I19+J$17)</f>
        <v>3.0419200000000005E-3</v>
      </c>
      <c r="K19" s="27">
        <f t="shared" si="8"/>
        <v>1.0139733333333334E-3</v>
      </c>
    </row>
    <row r="20" spans="1:11" x14ac:dyDescent="0.3">
      <c r="A20" s="1">
        <v>4</v>
      </c>
      <c r="B20" s="1">
        <f t="shared" si="9"/>
        <v>210</v>
      </c>
      <c r="C20" s="76">
        <f>B20*(0.5*C$4+0.5*'Transport c&amp;e fuel vehicles'!C$5)/100</f>
        <v>5.0925000000000005E-2</v>
      </c>
      <c r="D20" s="77"/>
      <c r="E20" s="78"/>
      <c r="F20" s="76">
        <f t="shared" si="10"/>
        <v>5.0925000000000005E-2</v>
      </c>
      <c r="G20" s="78"/>
      <c r="H20" s="27">
        <f t="shared" si="7"/>
        <v>1.2731250000000001E-2</v>
      </c>
      <c r="I20" s="1">
        <f>B20*(0.5*C$6+0.5*'Transport c&amp;e fuel vehicles'!C$6)/100</f>
        <v>0.13439999999999999</v>
      </c>
      <c r="J20" s="1">
        <f t="shared" si="11"/>
        <v>6.8443200000000001E-3</v>
      </c>
      <c r="K20" s="27">
        <f t="shared" si="8"/>
        <v>1.71108E-3</v>
      </c>
    </row>
    <row r="21" spans="1:11" x14ac:dyDescent="0.3">
      <c r="A21" s="1">
        <v>5</v>
      </c>
      <c r="B21" s="1">
        <f t="shared" si="9"/>
        <v>280</v>
      </c>
      <c r="C21" s="76">
        <f>B21*(0.5*C$4+0.5*'Transport c&amp;e fuel vehicles'!C$5)/100</f>
        <v>6.7900000000000002E-2</v>
      </c>
      <c r="D21" s="77"/>
      <c r="E21" s="78"/>
      <c r="F21" s="76">
        <f t="shared" si="10"/>
        <v>6.7900000000000002E-2</v>
      </c>
      <c r="G21" s="78"/>
      <c r="H21" s="27">
        <f t="shared" si="7"/>
        <v>1.358E-2</v>
      </c>
      <c r="I21" s="1">
        <f>B21*(0.5*C$6+0.5*'Transport c&amp;e fuel vehicles'!C$6)/100</f>
        <v>0.17920000000000003</v>
      </c>
      <c r="J21" s="1">
        <f t="shared" si="11"/>
        <v>1.2167680000000002E-2</v>
      </c>
      <c r="K21" s="27">
        <f t="shared" si="8"/>
        <v>2.4335360000000005E-3</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v>
      </c>
      <c r="G23" s="98"/>
      <c r="H23" s="27">
        <f>F23/A23</f>
        <v>0</v>
      </c>
      <c r="I23" s="1">
        <v>0</v>
      </c>
      <c r="J23" s="1">
        <f>C$8*F23</f>
        <v>0</v>
      </c>
      <c r="K23" s="27">
        <f>J23/A23</f>
        <v>0</v>
      </c>
    </row>
    <row r="24" spans="1:11" x14ac:dyDescent="0.3">
      <c r="A24" s="1">
        <v>2</v>
      </c>
      <c r="B24" s="1">
        <f>C7+B23</f>
        <v>70</v>
      </c>
      <c r="C24" s="82">
        <f>C$5*B24/100</f>
        <v>0</v>
      </c>
      <c r="D24" s="82"/>
      <c r="E24" s="82"/>
      <c r="F24" s="82">
        <f>F23+C24</f>
        <v>0</v>
      </c>
      <c r="G24" s="82"/>
      <c r="H24" s="27">
        <f>F24/A24</f>
        <v>0</v>
      </c>
      <c r="I24" s="1">
        <f>C6*B24</f>
        <v>1.9599999999999997</v>
      </c>
      <c r="J24" s="1">
        <f>F24*(I24+J23)</f>
        <v>0</v>
      </c>
      <c r="K24" s="27">
        <f>J24/A24</f>
        <v>0</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0</v>
      </c>
      <c r="G26" s="95"/>
      <c r="H26" s="27">
        <f>F26/A26</f>
        <v>0</v>
      </c>
      <c r="I26" s="1">
        <v>0</v>
      </c>
      <c r="J26" s="1">
        <f>C$8*F26</f>
        <v>0</v>
      </c>
      <c r="K26" s="27">
        <f>J26/A26</f>
        <v>0</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0</v>
      </c>
      <c r="G28" s="95"/>
      <c r="H28" s="27">
        <f>F28/A28</f>
        <v>0</v>
      </c>
      <c r="I28" s="1">
        <v>0</v>
      </c>
      <c r="J28" s="1">
        <f>C$8*F28</f>
        <v>0</v>
      </c>
      <c r="K28" s="27">
        <f>J28/A28</f>
        <v>0</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3.5879165893807943</v>
      </c>
      <c r="G30" s="95"/>
      <c r="H30" s="2">
        <f>F30/A30</f>
        <v>3.5879165893807943</v>
      </c>
      <c r="I30" s="1">
        <v>0</v>
      </c>
      <c r="J30" s="1">
        <f>C$8*F30</f>
        <v>1262.9466394620397</v>
      </c>
      <c r="K30" s="27">
        <f>J30/A30</f>
        <v>1262.9466394620397</v>
      </c>
    </row>
    <row r="31" spans="1:11" x14ac:dyDescent="0.3">
      <c r="A31" s="18">
        <f>'Passenger transport data'!H6</f>
        <v>26.715192258639863</v>
      </c>
      <c r="B31" s="1">
        <f>C$7*A31</f>
        <v>1870.0634581047905</v>
      </c>
      <c r="C31" s="76">
        <f t="shared" ref="C31:C33" si="12">C$4*B31/100</f>
        <v>0.1589553939389072</v>
      </c>
      <c r="D31" s="77"/>
      <c r="E31" s="78"/>
      <c r="F31" s="76">
        <f>F$30+C31</f>
        <v>3.7468719833197013</v>
      </c>
      <c r="G31" s="78"/>
      <c r="H31" s="27">
        <f t="shared" ref="H31:H33" si="13">F31/A31</f>
        <v>0.14025248057527787</v>
      </c>
      <c r="I31" s="1">
        <f>C$6*B31</f>
        <v>52.361776826934125</v>
      </c>
      <c r="J31" s="1">
        <f>F31*(I31+J$30)</f>
        <v>4928.2922544177627</v>
      </c>
      <c r="K31" s="27">
        <f t="shared" ref="K31:K33" si="14">J31/A31</f>
        <v>184.4752681060688</v>
      </c>
    </row>
    <row r="32" spans="1:11" x14ac:dyDescent="0.3">
      <c r="A32" s="18">
        <f>'Passenger transport data'!I6</f>
        <v>84.010038549181957</v>
      </c>
      <c r="B32" s="1">
        <f>C$7*A32</f>
        <v>5880.7026984427366</v>
      </c>
      <c r="C32" s="76">
        <f t="shared" si="12"/>
        <v>0.49985972936763268</v>
      </c>
      <c r="D32" s="77"/>
      <c r="E32" s="78"/>
      <c r="F32" s="76">
        <f t="shared" ref="F32:F33" si="15">F$30+C32</f>
        <v>4.0877763187484266</v>
      </c>
      <c r="G32" s="78"/>
      <c r="H32" s="27">
        <f t="shared" si="13"/>
        <v>4.8658188822938361E-2</v>
      </c>
      <c r="I32" s="1">
        <f t="shared" ref="I32:I33" si="16">C$6*B32</f>
        <v>164.65967555639662</v>
      </c>
      <c r="J32" s="1">
        <f t="shared" ref="J32:J33" si="17">F32*(I32+J$30)</f>
        <v>5835.7352870280702</v>
      </c>
      <c r="K32" s="27">
        <f t="shared" si="14"/>
        <v>69.4647376409863</v>
      </c>
    </row>
    <row r="33" spans="1:11" x14ac:dyDescent="0.3">
      <c r="A33" s="18">
        <f>'Passenger transport data'!J6</f>
        <v>141.30488483972402</v>
      </c>
      <c r="B33" s="1">
        <f>C$7*A33</f>
        <v>9891.3419387806825</v>
      </c>
      <c r="C33" s="76">
        <f t="shared" si="12"/>
        <v>0.84076406479635812</v>
      </c>
      <c r="D33" s="77"/>
      <c r="E33" s="78"/>
      <c r="F33" s="76">
        <f t="shared" si="15"/>
        <v>4.4286806541771524</v>
      </c>
      <c r="G33" s="78"/>
      <c r="H33" s="27">
        <f t="shared" si="13"/>
        <v>3.1341313212210689E-2</v>
      </c>
      <c r="I33" s="1">
        <f t="shared" si="16"/>
        <v>276.9575742858591</v>
      </c>
      <c r="J33" s="1">
        <f t="shared" si="17"/>
        <v>6819.7440007111973</v>
      </c>
      <c r="K33" s="27">
        <f t="shared" si="14"/>
        <v>48.262620279875925</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13.342538682298446</v>
      </c>
      <c r="G35" s="95"/>
      <c r="H35" s="2">
        <f>F35/A35</f>
        <v>13.342538682298446</v>
      </c>
      <c r="I35" s="1">
        <v>0</v>
      </c>
      <c r="J35" s="34">
        <f>C$8*F35</f>
        <v>4696.5736161690529</v>
      </c>
      <c r="K35" s="27">
        <f>J35/A35</f>
        <v>4696.5736161690529</v>
      </c>
    </row>
    <row r="36" spans="1:11" x14ac:dyDescent="0.3">
      <c r="A36" s="18">
        <f>'Passenger transport data'!H7</f>
        <v>33.393990323299825</v>
      </c>
      <c r="B36" s="1">
        <f>C$7*A36</f>
        <v>2337.5793226309879</v>
      </c>
      <c r="C36" s="76">
        <f t="shared" ref="C36:C38" si="18">C$4*B36/100</f>
        <v>0.19869424242363398</v>
      </c>
      <c r="D36" s="77"/>
      <c r="E36" s="78"/>
      <c r="F36" s="76">
        <f>F$35+C36</f>
        <v>13.541232924722081</v>
      </c>
      <c r="G36" s="78"/>
      <c r="H36" s="27">
        <f t="shared" ref="H36:H38" si="19">F36/A36</f>
        <v>0.40549909710173282</v>
      </c>
      <c r="I36" s="1">
        <f>C$6*B36</f>
        <v>65.452221033667655</v>
      </c>
      <c r="J36" s="34">
        <f>F36*(I36+J$35)</f>
        <v>64483.701055106707</v>
      </c>
      <c r="K36" s="27">
        <f t="shared" ref="K36:K38" si="20">J36/A36</f>
        <v>1930.9971773608263</v>
      </c>
    </row>
    <row r="37" spans="1:11" x14ac:dyDescent="0.3">
      <c r="A37" s="18">
        <f>'Passenger transport data'!I7</f>
        <v>105.01254818647745</v>
      </c>
      <c r="B37" s="1">
        <f t="shared" ref="B37:B38" si="21">C$7*A37</f>
        <v>7350.8783730534215</v>
      </c>
      <c r="C37" s="76">
        <f t="shared" si="18"/>
        <v>0.62482466170954087</v>
      </c>
      <c r="D37" s="77"/>
      <c r="E37" s="78"/>
      <c r="F37" s="76">
        <f t="shared" ref="F37:F38" si="22">F$35+C37</f>
        <v>13.967363344007987</v>
      </c>
      <c r="G37" s="78"/>
      <c r="H37" s="27">
        <f t="shared" si="19"/>
        <v>0.133006612878351</v>
      </c>
      <c r="I37" s="1">
        <f t="shared" ref="I37:I38" si="23">C$6*B37</f>
        <v>205.82459444549579</v>
      </c>
      <c r="J37" s="34">
        <f t="shared" ref="J37:J38" si="24">F37*(I37+J$35)</f>
        <v>68473.577064667988</v>
      </c>
      <c r="K37" s="27">
        <f t="shared" si="20"/>
        <v>652.05138097472991</v>
      </c>
    </row>
    <row r="38" spans="1:11" x14ac:dyDescent="0.3">
      <c r="A38" s="18">
        <f>'Passenger transport data'!J7</f>
        <v>176.63110604965507</v>
      </c>
      <c r="B38" s="1">
        <f t="shared" si="21"/>
        <v>12364.177423475856</v>
      </c>
      <c r="C38" s="76">
        <f t="shared" si="18"/>
        <v>1.0509550809954478</v>
      </c>
      <c r="D38" s="77"/>
      <c r="E38" s="78"/>
      <c r="F38" s="76">
        <f t="shared" si="22"/>
        <v>14.393493763293893</v>
      </c>
      <c r="G38" s="78"/>
      <c r="H38" s="27">
        <f t="shared" si="19"/>
        <v>8.1489008845630789E-2</v>
      </c>
      <c r="I38" s="1">
        <f t="shared" si="23"/>
        <v>346.19696785732395</v>
      </c>
      <c r="J38" s="34">
        <f t="shared" si="24"/>
        <v>72583.086950905563</v>
      </c>
      <c r="K38" s="27">
        <f t="shared" si="20"/>
        <v>410.9303767282122</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tabSelected="1"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v>
      </c>
    </row>
    <row r="8" spans="1:6" x14ac:dyDescent="0.3">
      <c r="B8" s="1" t="s">
        <v>99</v>
      </c>
      <c r="C8" s="1">
        <v>6.96</v>
      </c>
      <c r="D8" s="1">
        <f t="shared" ref="D8:D10" si="0">C8/100</f>
        <v>6.9599999999999995E-2</v>
      </c>
      <c r="E8" s="1">
        <f>D8/D$7</f>
        <v>0.40465116279069768</v>
      </c>
      <c r="F8" s="1">
        <f>F$7*E8</f>
        <v>0</v>
      </c>
    </row>
    <row r="9" spans="1:6" x14ac:dyDescent="0.3">
      <c r="B9" s="1" t="s">
        <v>100</v>
      </c>
      <c r="C9" s="1">
        <v>0.625</v>
      </c>
      <c r="D9" s="1">
        <f t="shared" si="0"/>
        <v>6.2500000000000003E-3</v>
      </c>
      <c r="E9" s="1">
        <f>D9/D$7</f>
        <v>3.6337209302325583E-2</v>
      </c>
      <c r="F9" s="1">
        <f t="shared" ref="F9:F10" si="1">F$7*E9</f>
        <v>0</v>
      </c>
    </row>
    <row r="10" spans="1:6" x14ac:dyDescent="0.3">
      <c r="B10" s="1" t="s">
        <v>101</v>
      </c>
      <c r="C10" s="1">
        <v>1.355</v>
      </c>
      <c r="D10" s="1">
        <f t="shared" si="0"/>
        <v>1.355E-2</v>
      </c>
      <c r="E10" s="1">
        <f>D10/D$7</f>
        <v>7.8779069767441867E-2</v>
      </c>
      <c r="F10" s="1">
        <f t="shared" si="1"/>
        <v>0</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2022-06-30T08:41:53Z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