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4" documentId="8_{4C372892-E9C3-428B-950B-C5A505A38EBC}" xr6:coauthVersionLast="47" xr6:coauthVersionMax="47" xr10:uidLastSave="{86F7D42D-7DE9-4AFA-9A6A-324FC9055639}"/>
  <bookViews>
    <workbookView xWindow="384" yWindow="384" windowWidth="14712" windowHeight="8880" firstSheet="7" activeTab="7"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7" i="9" l="1"/>
  <c r="H18" i="9"/>
  <c r="H19" i="9"/>
  <c r="H20" i="9"/>
  <c r="H21" i="9"/>
  <c r="C16" i="11"/>
  <c r="C15" i="11"/>
  <c r="B33" i="4" l="1"/>
  <c r="B32" i="4"/>
  <c r="B31" i="4"/>
  <c r="B26" i="4"/>
  <c r="B25" i="4"/>
  <c r="B24" i="4"/>
  <c r="B21" i="4"/>
  <c r="B20" i="4"/>
  <c r="B16" i="4"/>
  <c r="B13" i="4"/>
  <c r="B12" i="4"/>
  <c r="B11" i="4"/>
  <c r="B10" i="4"/>
  <c r="B8" i="4"/>
  <c r="B6" i="4"/>
  <c r="D10" i="1"/>
  <c r="B10" i="1"/>
  <c r="B4" i="1" l="1"/>
  <c r="B3" i="1"/>
  <c r="H6" i="12"/>
  <c r="H5" i="12" l="1"/>
  <c r="H4" i="12"/>
  <c r="K6" i="10" l="1"/>
  <c r="G5" i="10"/>
  <c r="F8" i="10"/>
  <c r="C11" i="11"/>
  <c r="E5" i="11" l="1"/>
  <c r="C8" i="10"/>
  <c r="I6" i="10"/>
  <c r="C5" i="10"/>
  <c r="C26" i="10" s="1"/>
  <c r="I4" i="10"/>
  <c r="F8" i="8"/>
  <c r="F25" i="8"/>
  <c r="C25" i="8"/>
  <c r="C11" i="10" l="1"/>
  <c r="C31" i="10"/>
  <c r="C16" i="10"/>
  <c r="C21" i="10"/>
  <c r="H25" i="8"/>
  <c r="J25" i="8"/>
  <c r="K25" i="8" s="1"/>
  <c r="D25" i="4"/>
  <c r="B10" i="12" s="1"/>
  <c r="C10" i="12" s="1"/>
  <c r="D15" i="4"/>
  <c r="D11" i="1"/>
  <c r="B11" i="1"/>
  <c r="D3" i="1" l="1"/>
  <c r="E6" i="3" s="1"/>
  <c r="C6" i="3" s="1"/>
  <c r="D4" i="1"/>
  <c r="E7" i="3" l="1"/>
  <c r="C7" i="3" l="1"/>
  <c r="B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33" i="10"/>
  <c r="B33" i="10" s="1"/>
  <c r="A13" i="10"/>
  <c r="B13" i="10" s="1"/>
  <c r="A23" i="10"/>
  <c r="B23" i="10" s="1"/>
  <c r="A18" i="10"/>
  <c r="B18" i="10" s="1"/>
  <c r="A28" i="10"/>
  <c r="B28"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6" i="9"/>
  <c r="B36" i="9" s="1"/>
  <c r="A37" i="12"/>
  <c r="A26" i="8"/>
  <c r="B26" i="8" s="1"/>
  <c r="C27" i="8"/>
  <c r="F27" i="8" s="1"/>
  <c r="I27" i="8"/>
  <c r="A38" i="9"/>
  <c r="B38" i="9" s="1"/>
  <c r="A39" i="12"/>
  <c r="A28" i="8"/>
  <c r="B28" i="8" s="1"/>
  <c r="A42" i="12"/>
  <c r="A33" i="9"/>
  <c r="A51" i="12"/>
  <c r="A31" i="9"/>
  <c r="B31" i="9" s="1"/>
  <c r="I31" i="9" s="1"/>
  <c r="A49" i="12"/>
  <c r="C18" i="10"/>
  <c r="I18" i="10"/>
  <c r="I23" i="10"/>
  <c r="C23" i="10"/>
  <c r="C13" i="10"/>
  <c r="I13" i="10"/>
  <c r="A21" i="8"/>
  <c r="B21" i="8" s="1"/>
  <c r="I21" i="8" s="1"/>
  <c r="A17" i="12"/>
  <c r="A22" i="10"/>
  <c r="B22" i="10" s="1"/>
  <c r="A32" i="10"/>
  <c r="B32" i="10" s="1"/>
  <c r="A12" i="10"/>
  <c r="B12" i="10" s="1"/>
  <c r="A17" i="10"/>
  <c r="B17" i="10" s="1"/>
  <c r="A27" i="10"/>
  <c r="B27" i="10" s="1"/>
  <c r="I33" i="10"/>
  <c r="C33" i="10"/>
  <c r="I28" i="10"/>
  <c r="C28" i="10"/>
  <c r="A19" i="12"/>
  <c r="A34" i="10"/>
  <c r="B34" i="10" s="1"/>
  <c r="A19" i="10"/>
  <c r="B19" i="10" s="1"/>
  <c r="A14" i="10"/>
  <c r="B14" i="10" s="1"/>
  <c r="A29" i="10"/>
  <c r="B29" i="10" s="1"/>
  <c r="A24" i="10"/>
  <c r="B24" i="10" s="1"/>
  <c r="A26" i="12"/>
  <c r="A34" i="12"/>
  <c r="A30" i="12"/>
  <c r="A22" i="12"/>
  <c r="C43" i="9"/>
  <c r="I43" i="9"/>
  <c r="C42" i="9"/>
  <c r="C41" i="9"/>
  <c r="I38" i="9"/>
  <c r="C38" i="9"/>
  <c r="I37" i="9"/>
  <c r="C37" i="9"/>
  <c r="C36" i="9"/>
  <c r="I36" i="9"/>
  <c r="C32" i="9"/>
  <c r="I32" i="9"/>
  <c r="B33" i="9"/>
  <c r="A23" i="8"/>
  <c r="B23" i="8" s="1"/>
  <c r="I23" i="8" s="1"/>
  <c r="C22" i="8"/>
  <c r="D29" i="4"/>
  <c r="D26" i="4"/>
  <c r="D27" i="4"/>
  <c r="D24" i="4"/>
  <c r="D17" i="4"/>
  <c r="D16" i="4"/>
  <c r="L6" i="10" s="1"/>
  <c r="D10" i="4"/>
  <c r="F11" i="8" s="1"/>
  <c r="D11" i="4"/>
  <c r="F17" i="9" s="1"/>
  <c r="D12" i="4"/>
  <c r="D13" i="4"/>
  <c r="D8" i="4"/>
  <c r="F17" i="8" s="1"/>
  <c r="C31" i="9" l="1"/>
  <c r="F40" i="9"/>
  <c r="H40" i="9" s="1"/>
  <c r="B11" i="12"/>
  <c r="B46" i="12" s="1"/>
  <c r="B47" i="12"/>
  <c r="F35" i="9"/>
  <c r="H35" i="9" s="1"/>
  <c r="B9" i="12"/>
  <c r="B38" i="12" s="1"/>
  <c r="F30" i="9"/>
  <c r="H30" i="9" s="1"/>
  <c r="B12" i="12"/>
  <c r="B50" i="12" s="1"/>
  <c r="I28" i="8"/>
  <c r="C28" i="8"/>
  <c r="F28" i="8" s="1"/>
  <c r="A43" i="12"/>
  <c r="J27" i="8"/>
  <c r="K27" i="8" s="1"/>
  <c r="H27" i="8"/>
  <c r="I26" i="8"/>
  <c r="C26" i="8"/>
  <c r="F26" i="8" s="1"/>
  <c r="A41" i="12"/>
  <c r="B37" i="12"/>
  <c r="C42" i="12"/>
  <c r="B42" i="12"/>
  <c r="F20" i="8"/>
  <c r="B4" i="12"/>
  <c r="B17" i="12" s="1"/>
  <c r="F11" i="10"/>
  <c r="H11" i="10" s="1"/>
  <c r="F31" i="10"/>
  <c r="H31" i="10" s="1"/>
  <c r="F26" i="10"/>
  <c r="F21" i="10"/>
  <c r="F23" i="10" s="1"/>
  <c r="F16" i="10"/>
  <c r="H16" i="10" s="1"/>
  <c r="F28" i="10"/>
  <c r="F18" i="10"/>
  <c r="H18" i="10" s="1"/>
  <c r="C21" i="8"/>
  <c r="C27" i="10"/>
  <c r="F27" i="10" s="1"/>
  <c r="I27" i="10"/>
  <c r="I19" i="10"/>
  <c r="C19" i="10"/>
  <c r="F19" i="10" s="1"/>
  <c r="H19" i="10" s="1"/>
  <c r="I17" i="10"/>
  <c r="C17" i="10"/>
  <c r="A25" i="12"/>
  <c r="A33" i="12"/>
  <c r="A21" i="12"/>
  <c r="A29" i="12"/>
  <c r="I29" i="10"/>
  <c r="C29" i="10"/>
  <c r="F29" i="10" s="1"/>
  <c r="I14" i="10"/>
  <c r="C14" i="10"/>
  <c r="C34" i="10"/>
  <c r="I34" i="10"/>
  <c r="C12" i="10"/>
  <c r="I12" i="10"/>
  <c r="I24" i="10"/>
  <c r="C24" i="10"/>
  <c r="F24" i="10" s="1"/>
  <c r="A31" i="12"/>
  <c r="A35" i="12"/>
  <c r="B19" i="12"/>
  <c r="A27" i="12"/>
  <c r="A23" i="12"/>
  <c r="I32" i="10"/>
  <c r="C32" i="10"/>
  <c r="H28" i="10"/>
  <c r="I22" i="10"/>
  <c r="C22" i="10"/>
  <c r="F22" i="10" s="1"/>
  <c r="C8" i="9"/>
  <c r="H3" i="12"/>
  <c r="C10" i="11"/>
  <c r="C8" i="8"/>
  <c r="J11" i="8" s="1"/>
  <c r="K11" i="8" s="1"/>
  <c r="F41" i="9"/>
  <c r="H41" i="9" s="1"/>
  <c r="F42" i="9"/>
  <c r="H42" i="9" s="1"/>
  <c r="F43" i="9"/>
  <c r="H43" i="9" s="1"/>
  <c r="F38" i="9"/>
  <c r="H38" i="9" s="1"/>
  <c r="F37" i="9"/>
  <c r="H37" i="9" s="1"/>
  <c r="F36" i="9"/>
  <c r="H36" i="9" s="1"/>
  <c r="F31" i="9"/>
  <c r="H31" i="9" s="1"/>
  <c r="F32" i="9"/>
  <c r="H32" i="9" s="1"/>
  <c r="J30" i="9"/>
  <c r="J40" i="9"/>
  <c r="H20" i="8"/>
  <c r="F21" i="8"/>
  <c r="F22" i="8"/>
  <c r="F11" i="9"/>
  <c r="F7" i="7"/>
  <c r="F19" i="9"/>
  <c r="F20" i="9"/>
  <c r="F21" i="9"/>
  <c r="F18" i="9"/>
  <c r="H11" i="8"/>
  <c r="F13" i="8"/>
  <c r="F12" i="8"/>
  <c r="F14" i="8"/>
  <c r="F15" i="8"/>
  <c r="H17" i="8"/>
  <c r="F18" i="8"/>
  <c r="C23" i="8"/>
  <c r="F23" i="8" s="1"/>
  <c r="I33" i="9"/>
  <c r="C33" i="9"/>
  <c r="F33" i="9" s="1"/>
  <c r="E10" i="1"/>
  <c r="F17" i="10" l="1"/>
  <c r="H17" i="10" s="1"/>
  <c r="B39" i="12"/>
  <c r="F12" i="10"/>
  <c r="H12" i="10" s="1"/>
  <c r="B49" i="12"/>
  <c r="B45" i="12"/>
  <c r="B51" i="12"/>
  <c r="C43" i="12"/>
  <c r="B43" i="12"/>
  <c r="J28" i="8"/>
  <c r="K28" i="8" s="1"/>
  <c r="H28" i="8"/>
  <c r="J26" i="8"/>
  <c r="K26" i="8" s="1"/>
  <c r="H26" i="8"/>
  <c r="B41" i="12"/>
  <c r="C41" i="12"/>
  <c r="J14" i="8"/>
  <c r="J12" i="8"/>
  <c r="K12" i="8" s="1"/>
  <c r="J13" i="8"/>
  <c r="J20" i="8"/>
  <c r="K20" i="8" s="1"/>
  <c r="J15" i="8"/>
  <c r="J17" i="8"/>
  <c r="K17" i="8" s="1"/>
  <c r="H23" i="10"/>
  <c r="B8" i="12"/>
  <c r="B31" i="12" s="1"/>
  <c r="B6" i="12"/>
  <c r="B27" i="12" s="1"/>
  <c r="B7" i="12"/>
  <c r="B34" i="12" s="1"/>
  <c r="B5" i="12"/>
  <c r="B22" i="12" s="1"/>
  <c r="B18" i="12"/>
  <c r="F34" i="10"/>
  <c r="H34" i="10" s="1"/>
  <c r="F33" i="10"/>
  <c r="H33" i="10" s="1"/>
  <c r="F14" i="10"/>
  <c r="H14" i="10" s="1"/>
  <c r="J21" i="10"/>
  <c r="K21" i="10" s="1"/>
  <c r="H21" i="10"/>
  <c r="F32" i="10"/>
  <c r="H32" i="10" s="1"/>
  <c r="J26" i="10"/>
  <c r="H26" i="10"/>
  <c r="F13" i="10"/>
  <c r="H13" i="10" s="1"/>
  <c r="J18" i="8"/>
  <c r="K18" i="8" s="1"/>
  <c r="H24" i="10"/>
  <c r="B29" i="12"/>
  <c r="J29" i="10"/>
  <c r="K29" i="10" s="1"/>
  <c r="H29" i="10"/>
  <c r="J27" i="10"/>
  <c r="K27" i="10" s="1"/>
  <c r="H27" i="10"/>
  <c r="H22" i="10"/>
  <c r="J35" i="9"/>
  <c r="J38" i="9" s="1"/>
  <c r="K38" i="9" s="1"/>
  <c r="I8" i="10"/>
  <c r="E2" i="11"/>
  <c r="H8" i="12"/>
  <c r="C12" i="12"/>
  <c r="C9" i="12"/>
  <c r="C11" i="12"/>
  <c r="C5" i="12"/>
  <c r="H22" i="8"/>
  <c r="J22" i="8"/>
  <c r="K22" i="8" s="1"/>
  <c r="H21" i="8"/>
  <c r="K30" i="9"/>
  <c r="J32" i="9"/>
  <c r="K32" i="9" s="1"/>
  <c r="J31" i="9"/>
  <c r="K31" i="9" s="1"/>
  <c r="K40" i="9"/>
  <c r="J43" i="9"/>
  <c r="K43" i="9" s="1"/>
  <c r="J42" i="9"/>
  <c r="K42" i="9" s="1"/>
  <c r="J41" i="9"/>
  <c r="K41" i="9" s="1"/>
  <c r="J33" i="9"/>
  <c r="K33" i="9" s="1"/>
  <c r="F6" i="9"/>
  <c r="J17" i="9" s="1"/>
  <c r="J18" i="9" s="1"/>
  <c r="F8" i="7"/>
  <c r="F23" i="9" s="1"/>
  <c r="F9" i="7"/>
  <c r="F26" i="9" s="1"/>
  <c r="F10" i="7"/>
  <c r="F28" i="9" s="1"/>
  <c r="J11" i="9"/>
  <c r="H11" i="9"/>
  <c r="F12" i="9"/>
  <c r="F13" i="9"/>
  <c r="F14" i="9"/>
  <c r="F15" i="9"/>
  <c r="K13" i="8"/>
  <c r="H13" i="8"/>
  <c r="K15" i="8"/>
  <c r="H15" i="8"/>
  <c r="H12" i="8"/>
  <c r="H14" i="8"/>
  <c r="K14" i="8"/>
  <c r="H18" i="8"/>
  <c r="H23" i="8"/>
  <c r="H33" i="9"/>
  <c r="E9" i="3"/>
  <c r="E5" i="3"/>
  <c r="E3" i="3"/>
  <c r="C3" i="3" s="1"/>
  <c r="B33" i="12" l="1"/>
  <c r="J23" i="8"/>
  <c r="K23" i="8" s="1"/>
  <c r="J21" i="8"/>
  <c r="K21" i="8" s="1"/>
  <c r="B23" i="12"/>
  <c r="C6" i="12"/>
  <c r="B26" i="12"/>
  <c r="C8" i="12"/>
  <c r="B30" i="12"/>
  <c r="B25" i="12"/>
  <c r="K26" i="10"/>
  <c r="J28" i="10"/>
  <c r="K28" i="10" s="1"/>
  <c r="B21" i="12"/>
  <c r="J22" i="10"/>
  <c r="K22" i="10" s="1"/>
  <c r="C7" i="12"/>
  <c r="C35" i="12" s="1"/>
  <c r="J24" i="10"/>
  <c r="K24" i="10" s="1"/>
  <c r="B35" i="12"/>
  <c r="J23" i="10"/>
  <c r="K23" i="10" s="1"/>
  <c r="C38" i="12"/>
  <c r="C37" i="12"/>
  <c r="C39" i="12"/>
  <c r="C50" i="12"/>
  <c r="C49" i="12"/>
  <c r="C51" i="12"/>
  <c r="C23" i="12"/>
  <c r="C22" i="12"/>
  <c r="C21" i="12"/>
  <c r="C46" i="12"/>
  <c r="C45" i="12"/>
  <c r="C47" i="12"/>
  <c r="J37" i="9"/>
  <c r="K37" i="9" s="1"/>
  <c r="K35" i="9"/>
  <c r="J36" i="9"/>
  <c r="K36" i="9" s="1"/>
  <c r="K8" i="10"/>
  <c r="J31" i="10" s="1"/>
  <c r="H7" i="12"/>
  <c r="C4" i="12" s="1"/>
  <c r="J16" i="10"/>
  <c r="J11" i="10"/>
  <c r="C9" i="3"/>
  <c r="C5" i="3"/>
  <c r="K11" i="9"/>
  <c r="J13" i="9"/>
  <c r="K13" i="9" s="1"/>
  <c r="J14" i="9"/>
  <c r="K14" i="9" s="1"/>
  <c r="J15" i="9"/>
  <c r="K15" i="9" s="1"/>
  <c r="J12" i="9"/>
  <c r="K12" i="9" s="1"/>
  <c r="K17" i="9"/>
  <c r="J20" i="9"/>
  <c r="K20" i="9" s="1"/>
  <c r="J21" i="9"/>
  <c r="K21" i="9" s="1"/>
  <c r="K18" i="9"/>
  <c r="J19" i="9"/>
  <c r="K19" i="9" s="1"/>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34" i="12" l="1"/>
  <c r="C33" i="12"/>
  <c r="C30" i="12"/>
  <c r="C29" i="12"/>
  <c r="C31" i="12"/>
  <c r="C26" i="12"/>
  <c r="C27" i="12"/>
  <c r="C25" i="12"/>
  <c r="K11" i="10"/>
  <c r="J12" i="10"/>
  <c r="K12" i="10" s="1"/>
  <c r="J13" i="10"/>
  <c r="K13" i="10" s="1"/>
  <c r="J14" i="10"/>
  <c r="K14" i="10" s="1"/>
  <c r="J17" i="10"/>
  <c r="K17" i="10" s="1"/>
  <c r="K16" i="10"/>
  <c r="J19" i="10"/>
  <c r="K19" i="10" s="1"/>
  <c r="J18" i="10"/>
  <c r="K18" i="10" s="1"/>
  <c r="C19" i="12"/>
  <c r="C18" i="12"/>
  <c r="C17" i="12"/>
  <c r="K31" i="10"/>
  <c r="J32" i="10"/>
  <c r="K32" i="10" s="1"/>
  <c r="J33" i="10"/>
  <c r="K33" i="10" s="1"/>
  <c r="J34" i="10"/>
  <c r="K34" i="10" s="1"/>
  <c r="F13" i="3"/>
  <c r="C13" i="3"/>
  <c r="E13" i="3"/>
  <c r="K23" i="9"/>
  <c r="J24" i="9"/>
  <c r="K24" i="9" s="1"/>
  <c r="H24" i="9"/>
  <c r="G7" i="3"/>
  <c r="F7" i="3"/>
  <c r="D7" i="3"/>
  <c r="D6" i="3"/>
  <c r="F6" i="3"/>
  <c r="B6" i="3"/>
  <c r="G6" i="3"/>
  <c r="E8" i="3"/>
  <c r="D4" i="3"/>
  <c r="D13" i="3" s="1"/>
  <c r="G4" i="3"/>
  <c r="G13" i="3" s="1"/>
  <c r="B4" i="3"/>
  <c r="B13" i="3" s="1"/>
  <c r="F4" i="3"/>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<sst xmlns="http://schemas.openxmlformats.org/spreadsheetml/2006/main" count="307" uniqueCount="195">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</sst>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0" xfId="0" applyBorder="1" applyAlignment="1">
      <alignment horizontal="center" vertical="center" wrapText="1"/>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1" xfId="0" applyFill="1" applyBorder="1" applyAlignment="1">
      <alignment horizontal="right"/>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RO/JRC-IDEES-2015_Residential_R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RO/JRC-IDEES-2015_Transport_R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3883.1844501983051</v>
          </cell>
        </row>
        <row r="162">
          <cell r="Q162">
            <v>442.17294982154294</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4231.3630276003532</v>
          </cell>
        </row>
        <row r="56">
          <cell r="Q56">
            <v>12148.002851358437</v>
          </cell>
        </row>
      </sheetData>
      <sheetData sheetId="3">
        <row r="150">
          <cell r="Q150">
            <v>8.5058422590068172</v>
          </cell>
        </row>
      </sheetData>
      <sheetData sheetId="4">
        <row r="62">
          <cell r="Q62">
            <v>3.7972079861676069</v>
          </cell>
        </row>
        <row r="64">
          <cell r="Q64">
            <v>6.3034852112870174</v>
          </cell>
        </row>
        <row r="65">
          <cell r="Q65">
            <v>5.6196907669382945</v>
          </cell>
        </row>
        <row r="68">
          <cell r="Q68">
            <v>5.4619097782551327</v>
          </cell>
        </row>
        <row r="69">
          <cell r="Q69">
            <v>3.1083773717332006</v>
          </cell>
        </row>
        <row r="70">
          <cell r="Q70">
            <v>51.8533207905732</v>
          </cell>
        </row>
      </sheetData>
      <sheetData sheetId="5">
        <row r="48">
          <cell r="Q48">
            <v>2.767419891387723</v>
          </cell>
        </row>
        <row r="49">
          <cell r="Q49">
            <v>2.9829013287389787</v>
          </cell>
        </row>
      </sheetData>
      <sheetData sheetId="6" refreshError="1"/>
      <sheetData sheetId="7">
        <row r="62">
          <cell r="Q62">
            <v>73.964309621381588</v>
          </cell>
        </row>
        <row r="63">
          <cell r="Q63">
            <v>84.05035184247906</v>
          </cell>
        </row>
      </sheetData>
      <sheetData sheetId="8">
        <row r="31">
          <cell r="Q31">
            <v>38.606103813646961</v>
          </cell>
        </row>
        <row r="33">
          <cell r="Q33">
            <v>178.27208240545113</v>
          </cell>
        </row>
        <row r="34">
          <cell r="Q34">
            <v>140.15320548783887</v>
          </cell>
        </row>
      </sheetData>
      <sheetData sheetId="9" refreshError="1"/>
      <sheetData sheetId="10">
        <row r="69">
          <cell r="Q69">
            <v>126.96095912391191</v>
          </cell>
        </row>
      </sheetData>
      <sheetData sheetId="11">
        <row r="37">
          <cell r="Q37">
            <v>2697.9067457752076</v>
          </cell>
        </row>
      </sheetData>
      <sheetData sheetId="12">
        <row r="41">
          <cell r="Q41">
            <v>8120.7042702961371</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442.17294982154294</v>
      </c>
      <c r="C3" s="6">
        <v>0.34899999999999998</v>
      </c>
      <c r="D3" s="2">
        <f>B3*$C3</f>
        <v>154.31835948771848</v>
      </c>
      <c r="E3" s="31">
        <v>1848.55</v>
      </c>
    </row>
    <row r="4" spans="1:5" x14ac:dyDescent="0.3">
      <c r="A4" s="1" t="s">
        <v>5</v>
      </c>
      <c r="B4" s="6">
        <f>[1]RES_summary!$Q$157</f>
        <v>3883.1844501983051</v>
      </c>
      <c r="C4" s="6">
        <v>0.20200000000000001</v>
      </c>
      <c r="D4" s="29">
        <f>B4*$C4</f>
        <v>784.40325894005764</v>
      </c>
      <c r="E4" s="31">
        <v>3078.26</v>
      </c>
    </row>
    <row r="5" spans="1:5" x14ac:dyDescent="0.3">
      <c r="A5" s="1" t="s">
        <v>6</v>
      </c>
      <c r="B5" s="2">
        <f>B3+B4</f>
        <v>4325.3574000198478</v>
      </c>
      <c r="C5" s="3" t="s">
        <v>7</v>
      </c>
      <c r="D5" s="29">
        <f>D3+D4</f>
        <v>938.72161842777609</v>
      </c>
      <c r="E5" s="31">
        <f>E3+E4</f>
        <v>4926.8100000000004</v>
      </c>
    </row>
    <row r="7" spans="1:5" x14ac:dyDescent="0.3">
      <c r="A7" t="s">
        <v>20</v>
      </c>
      <c r="B7" s="5">
        <v>19870647</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4231.3630276003532</v>
      </c>
      <c r="C10" s="2">
        <f>B10*11630*1000/B7</f>
        <v>2476.5550920909677</v>
      </c>
      <c r="D10" s="6">
        <f>[2]Transport!$Q$56</f>
        <v>12148.002851358437</v>
      </c>
      <c r="E10" s="2">
        <f>D10*1000000/B7</f>
        <v>611.35416734837258</v>
      </c>
    </row>
    <row r="11" spans="1:5" x14ac:dyDescent="0.3">
      <c r="A11" s="39" t="s">
        <v>142</v>
      </c>
      <c r="B11" s="40">
        <f>B10*11630</f>
        <v>49210752.01099211</v>
      </c>
      <c r="C11" s="40" t="s">
        <v>143</v>
      </c>
      <c r="D11" s="40">
        <f>D10*1000</f>
        <v>12148002.851358436</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331.62971236615721</v>
      </c>
      <c r="C2" s="35">
        <f>E2*0.9</f>
        <v>397.95565483938867</v>
      </c>
      <c r="D2" s="35">
        <f>0.95*E2</f>
        <v>420.06430233046575</v>
      </c>
      <c r="E2" s="35">
        <f>'Cons and emi per capita'!B3</f>
        <v>442.17294982154294</v>
      </c>
      <c r="F2" s="35">
        <f>1.05*E2</f>
        <v>464.28159731262014</v>
      </c>
      <c r="G2" s="35">
        <f>1.25*E2</f>
        <v>552.71618727692862</v>
      </c>
      <c r="H2" s="12" t="s">
        <v>28</v>
      </c>
    </row>
    <row r="3" spans="1:8" x14ac:dyDescent="0.3">
      <c r="A3" s="1" t="s">
        <v>5</v>
      </c>
      <c r="B3" s="35">
        <f t="shared" ref="B3:B4" si="0">0.75*E3</f>
        <v>2912.3883376487288</v>
      </c>
      <c r="C3" s="35">
        <f t="shared" ref="C3:C4" si="1">E3*0.9</f>
        <v>3494.8660051784746</v>
      </c>
      <c r="D3" s="35">
        <f t="shared" ref="D3:D9" si="2">0.95*E3</f>
        <v>3689.0252276883898</v>
      </c>
      <c r="E3" s="17">
        <f>'Cons and emi per capita'!B4</f>
        <v>3883.1844501983051</v>
      </c>
      <c r="F3" s="35">
        <f t="shared" ref="F3:F9" si="3">1.05*E3</f>
        <v>4077.3436727082203</v>
      </c>
      <c r="G3" s="35">
        <f t="shared" ref="G3:G4" si="4">1.25*E3</f>
        <v>4853.9805627478818</v>
      </c>
      <c r="H3" s="1" t="s">
        <v>28</v>
      </c>
    </row>
    <row r="4" spans="1:8" x14ac:dyDescent="0.3">
      <c r="A4" s="1" t="s">
        <v>18</v>
      </c>
      <c r="B4" s="35">
        <f t="shared" si="0"/>
        <v>3244.0180500148858</v>
      </c>
      <c r="C4" s="35">
        <f t="shared" si="1"/>
        <v>3892.821660017863</v>
      </c>
      <c r="D4" s="35">
        <f t="shared" si="2"/>
        <v>4109.0895300188549</v>
      </c>
      <c r="E4" s="17">
        <f>E2+E3</f>
        <v>4325.3574000198478</v>
      </c>
      <c r="F4" s="35">
        <f t="shared" si="3"/>
        <v>4541.6252700208406</v>
      </c>
      <c r="G4" s="35">
        <f t="shared" si="4"/>
        <v>5406.6967500248102</v>
      </c>
      <c r="H4" s="1" t="s">
        <v>28</v>
      </c>
    </row>
    <row r="5" spans="1:8" x14ac:dyDescent="0.3">
      <c r="A5" s="1" t="s">
        <v>33</v>
      </c>
      <c r="B5" s="17">
        <f>0.84*E5</f>
        <v>2080.3062773564129</v>
      </c>
      <c r="C5" s="35">
        <f>E5*0.91</f>
        <v>2253.6651338027805</v>
      </c>
      <c r="D5" s="35">
        <f t="shared" si="2"/>
        <v>2352.7273374864194</v>
      </c>
      <c r="E5" s="17">
        <f>'Cons and emi per capita'!C10</f>
        <v>2476.5550920909677</v>
      </c>
      <c r="F5" s="35">
        <f t="shared" si="3"/>
        <v>2600.382846695516</v>
      </c>
      <c r="G5" s="17">
        <f>1.16*E5</f>
        <v>2872.8039068255225</v>
      </c>
      <c r="H5" s="1" t="s">
        <v>28</v>
      </c>
    </row>
    <row r="6" spans="1:8" x14ac:dyDescent="0.3">
      <c r="A6" s="1" t="s">
        <v>29</v>
      </c>
      <c r="B6" s="17">
        <f>0.75*E6</f>
        <v>115.73876961578887</v>
      </c>
      <c r="C6" s="35">
        <f>E6*0.9</f>
        <v>138.88652353894665</v>
      </c>
      <c r="D6" s="35">
        <f t="shared" si="2"/>
        <v>146.60244151333256</v>
      </c>
      <c r="E6" s="17">
        <f>'Cons and emi per capita'!D3</f>
        <v>154.31835948771848</v>
      </c>
      <c r="F6" s="35">
        <f t="shared" si="3"/>
        <v>162.0342774621044</v>
      </c>
      <c r="G6" s="17">
        <f>1.25*E6</f>
        <v>192.89794935964809</v>
      </c>
      <c r="H6" s="1" t="s">
        <v>30</v>
      </c>
    </row>
    <row r="7" spans="1:8" x14ac:dyDescent="0.3">
      <c r="A7" s="1" t="s">
        <v>31</v>
      </c>
      <c r="B7" s="17">
        <f>0.75*E7</f>
        <v>588.30244420504323</v>
      </c>
      <c r="C7" s="35">
        <f t="shared" ref="C7:C8" si="5">E7*0.9</f>
        <v>705.96293304605194</v>
      </c>
      <c r="D7" s="35">
        <f t="shared" si="2"/>
        <v>745.18309599305474</v>
      </c>
      <c r="E7" s="17">
        <f>'Cons and emi per capita'!D4</f>
        <v>784.40325894005764</v>
      </c>
      <c r="F7" s="35">
        <f t="shared" si="3"/>
        <v>823.62342188706054</v>
      </c>
      <c r="G7" s="17">
        <f t="shared" ref="G7:G8" si="6">1.25*E7</f>
        <v>980.50407367507205</v>
      </c>
      <c r="H7" s="1" t="s">
        <v>30</v>
      </c>
    </row>
    <row r="8" spans="1:8" x14ac:dyDescent="0.3">
      <c r="A8" s="1" t="s">
        <v>32</v>
      </c>
      <c r="B8" s="17">
        <f t="shared" ref="B8" si="7">0.75*E8</f>
        <v>704.04121382083213</v>
      </c>
      <c r="C8" s="35">
        <f t="shared" si="5"/>
        <v>844.84945658499851</v>
      </c>
      <c r="D8" s="35">
        <f t="shared" si="2"/>
        <v>891.7855375063873</v>
      </c>
      <c r="E8" s="17">
        <f>E6+E7</f>
        <v>938.72161842777609</v>
      </c>
      <c r="F8" s="35">
        <f t="shared" si="3"/>
        <v>985.65769934916489</v>
      </c>
      <c r="G8" s="17">
        <f t="shared" si="6"/>
        <v>1173.4020230347201</v>
      </c>
      <c r="H8" s="1" t="s">
        <v>30</v>
      </c>
    </row>
    <row r="9" spans="1:8" x14ac:dyDescent="0.3">
      <c r="A9" s="1" t="s">
        <v>34</v>
      </c>
      <c r="B9" s="17">
        <f>0.84*E9</f>
        <v>513.53750057263301</v>
      </c>
      <c r="C9" s="35">
        <f>E9*0.91</f>
        <v>556.33229228701907</v>
      </c>
      <c r="D9" s="35">
        <f t="shared" si="2"/>
        <v>580.78645898095397</v>
      </c>
      <c r="E9" s="17">
        <f>'Cons and emi per capita'!E10</f>
        <v>611.35416734837258</v>
      </c>
      <c r="F9" s="35">
        <f t="shared" si="3"/>
        <v>641.9218757157912</v>
      </c>
      <c r="G9" s="17">
        <f>1.16*E9</f>
        <v>709.17083412411216</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5324.3243273712988</v>
      </c>
      <c r="C13" s="37">
        <f t="shared" ref="C13:G13" si="8">SUM(C4:C5)</f>
        <v>6146.4867938206435</v>
      </c>
      <c r="D13" s="37">
        <f t="shared" si="8"/>
        <v>6461.8168675052748</v>
      </c>
      <c r="E13" s="37">
        <f t="shared" si="8"/>
        <v>6801.9124921108159</v>
      </c>
      <c r="F13" s="37">
        <f t="shared" si="8"/>
        <v>7142.0081167163571</v>
      </c>
      <c r="G13" s="37">
        <f t="shared" si="8"/>
        <v>8279.5006568503322</v>
      </c>
    </row>
    <row r="14" spans="1:8" x14ac:dyDescent="0.3">
      <c r="B14" s="37">
        <f>SUM(B8:B9)</f>
        <v>1217.5787143934651</v>
      </c>
      <c r="C14" s="37">
        <f t="shared" ref="C14:G14" si="9">SUM(C8:C9)</f>
        <v>1401.1817488720176</v>
      </c>
      <c r="D14" s="37">
        <f t="shared" si="9"/>
        <v>1472.5719964873413</v>
      </c>
      <c r="E14" s="37">
        <f t="shared" si="9"/>
        <v>1550.0757857761487</v>
      </c>
      <c r="F14" s="37">
        <f t="shared" si="9"/>
        <v>1627.5795750649561</v>
      </c>
      <c r="G14" s="37">
        <f t="shared" si="9"/>
        <v>1882.5728571588322</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14" zoomScale="90" zoomScaleNormal="90" workbookViewId="0">
      <selection activeCell="B34" sqref="B34"/>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1" t="s">
        <v>37</v>
      </c>
      <c r="B1" s="61"/>
      <c r="C1" s="61"/>
      <c r="D1" s="61"/>
      <c r="E1" s="61"/>
      <c r="G1" s="61" t="s">
        <v>75</v>
      </c>
      <c r="H1" s="61"/>
      <c r="I1" s="61"/>
      <c r="J1" s="61"/>
      <c r="K1" s="16"/>
    </row>
    <row r="2" spans="1:11" ht="28.2" customHeight="1" x14ac:dyDescent="0.3">
      <c r="A2" s="74" t="s">
        <v>64</v>
      </c>
      <c r="B2" s="74"/>
      <c r="C2" s="74"/>
      <c r="D2" s="74"/>
      <c r="E2" s="74"/>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5" t="s">
        <v>38</v>
      </c>
      <c r="B4" s="75"/>
      <c r="C4" s="75"/>
      <c r="D4" s="75"/>
      <c r="E4" s="75"/>
      <c r="G4" s="1" t="s">
        <v>81</v>
      </c>
      <c r="H4" s="1">
        <v>15.9</v>
      </c>
      <c r="I4" s="1">
        <v>50</v>
      </c>
      <c r="J4" s="1">
        <v>84.1</v>
      </c>
      <c r="K4" t="s">
        <v>78</v>
      </c>
    </row>
    <row r="5" spans="1:11" x14ac:dyDescent="0.3">
      <c r="A5" s="57" t="s">
        <v>39</v>
      </c>
      <c r="B5" s="57"/>
      <c r="C5" s="57"/>
      <c r="D5" s="57"/>
      <c r="E5" s="57"/>
      <c r="G5" s="1" t="s">
        <v>82</v>
      </c>
      <c r="H5" s="17">
        <f>H$4*I5/I$4</f>
        <v>2.7048578383641679</v>
      </c>
      <c r="I5" s="17">
        <f>B6</f>
        <v>8.5058422590068172</v>
      </c>
      <c r="J5" s="17">
        <f>J$4*I5/I$4</f>
        <v>14.306826679649467</v>
      </c>
    </row>
    <row r="6" spans="1:11" x14ac:dyDescent="0.3">
      <c r="A6" s="1" t="s">
        <v>40</v>
      </c>
      <c r="B6" s="6">
        <f>[2]TrRoad_act!$Q$150</f>
        <v>8.5058422590068172</v>
      </c>
      <c r="C6" s="1" t="s">
        <v>59</v>
      </c>
      <c r="D6" s="3" t="s">
        <v>7</v>
      </c>
      <c r="E6" s="1"/>
      <c r="G6" s="1" t="s">
        <v>83</v>
      </c>
      <c r="H6" s="17">
        <f t="shared" ref="H6:H8" si="0">H$4*I6/I$4</f>
        <v>23.520650459599345</v>
      </c>
      <c r="I6" s="17">
        <f>B20</f>
        <v>73.964309621381588</v>
      </c>
      <c r="J6" s="17">
        <f t="shared" ref="J6:J8" si="1">J$4*I6/I$4</f>
        <v>124.40796878316381</v>
      </c>
    </row>
    <row r="7" spans="1:11" x14ac:dyDescent="0.3">
      <c r="A7" s="57" t="s">
        <v>61</v>
      </c>
      <c r="B7" s="57"/>
      <c r="C7" s="57"/>
      <c r="D7" s="57"/>
      <c r="E7" s="57"/>
      <c r="G7" s="1" t="s">
        <v>84</v>
      </c>
      <c r="H7" s="17">
        <f t="shared" si="0"/>
        <v>26.728011885908341</v>
      </c>
      <c r="I7" s="17">
        <f>B21</f>
        <v>84.05035184247906</v>
      </c>
      <c r="J7" s="17">
        <f t="shared" si="1"/>
        <v>141.37269179904976</v>
      </c>
    </row>
    <row r="8" spans="1:11" x14ac:dyDescent="0.3">
      <c r="A8" s="1" t="s">
        <v>42</v>
      </c>
      <c r="B8" s="6">
        <f>[2]TrRoad_ene!$Q$62</f>
        <v>3.7972079861676069</v>
      </c>
      <c r="C8" s="74" t="s">
        <v>60</v>
      </c>
      <c r="D8" s="27">
        <f>B8*11.63/100</f>
        <v>0.44161528879129269</v>
      </c>
      <c r="E8" s="74" t="s">
        <v>41</v>
      </c>
      <c r="G8" s="1" t="s">
        <v>85</v>
      </c>
      <c r="H8" s="17">
        <f t="shared" si="0"/>
        <v>0</v>
      </c>
      <c r="I8" s="17">
        <f>B22</f>
        <v>0</v>
      </c>
      <c r="J8" s="17">
        <f t="shared" si="1"/>
        <v>0</v>
      </c>
    </row>
    <row r="9" spans="1:11" x14ac:dyDescent="0.3">
      <c r="A9" s="1" t="s">
        <v>43</v>
      </c>
      <c r="B9" s="3" t="s">
        <v>7</v>
      </c>
      <c r="C9" s="74"/>
      <c r="D9" s="3" t="s">
        <v>7</v>
      </c>
      <c r="E9" s="74"/>
    </row>
    <row r="10" spans="1:11" x14ac:dyDescent="0.3">
      <c r="A10" s="1" t="s">
        <v>44</v>
      </c>
      <c r="B10" s="6">
        <f>AVERAGE([2]TrRoad_ene!$Q$64:$Q$65)</f>
        <v>5.9615879891126564</v>
      </c>
      <c r="C10" s="74"/>
      <c r="D10" s="27">
        <f t="shared" ref="D10:D13" si="2">B10*11.63/100</f>
        <v>0.69333268313380203</v>
      </c>
      <c r="E10" s="74"/>
    </row>
    <row r="11" spans="1:11" x14ac:dyDescent="0.3">
      <c r="A11" s="1" t="s">
        <v>45</v>
      </c>
      <c r="B11" s="6">
        <f>[2]TrRoad_ene!$Q$68</f>
        <v>5.4619097782551327</v>
      </c>
      <c r="C11" s="74"/>
      <c r="D11" s="27">
        <f t="shared" si="2"/>
        <v>0.63522010721107203</v>
      </c>
      <c r="E11" s="74"/>
    </row>
    <row r="12" spans="1:11" x14ac:dyDescent="0.3">
      <c r="A12" s="1" t="s">
        <v>46</v>
      </c>
      <c r="B12" s="6">
        <f>[2]TrRoad_ene!$Q$69</f>
        <v>3.1083773717332006</v>
      </c>
      <c r="C12" s="74"/>
      <c r="D12" s="27">
        <f t="shared" si="2"/>
        <v>0.36150428833257126</v>
      </c>
      <c r="E12" s="74"/>
    </row>
    <row r="13" spans="1:11" x14ac:dyDescent="0.3">
      <c r="A13" s="1" t="s">
        <v>40</v>
      </c>
      <c r="B13" s="6">
        <f>[2]TrRoad_ene!$Q$70</f>
        <v>51.8533207905732</v>
      </c>
      <c r="C13" s="74"/>
      <c r="D13" s="27">
        <f t="shared" si="2"/>
        <v>6.0305412079436636</v>
      </c>
      <c r="E13" s="74"/>
    </row>
    <row r="14" spans="1:11" x14ac:dyDescent="0.3">
      <c r="A14" s="57" t="s">
        <v>63</v>
      </c>
      <c r="B14" s="57"/>
      <c r="C14" s="57"/>
      <c r="D14" s="57"/>
      <c r="E14" s="57"/>
    </row>
    <row r="15" spans="1:11" x14ac:dyDescent="0.3">
      <c r="A15" s="38" t="s">
        <v>145</v>
      </c>
      <c r="B15" s="6">
        <v>3.1</v>
      </c>
      <c r="C15" s="1" t="s">
        <v>62</v>
      </c>
      <c r="D15" s="28">
        <f>B15*1000/11630</f>
        <v>0.26655202063628547</v>
      </c>
      <c r="E15" s="1" t="s">
        <v>47</v>
      </c>
    </row>
    <row r="16" spans="1:11" x14ac:dyDescent="0.3">
      <c r="A16" s="1" t="s">
        <v>48</v>
      </c>
      <c r="B16" s="6">
        <f>AVERAGE([2]TrRoad_emi!$Q$48:$Q$49)</f>
        <v>2.8751606100633511</v>
      </c>
      <c r="C16" s="1" t="s">
        <v>62</v>
      </c>
      <c r="D16" s="28">
        <f>B16*1000/11630</f>
        <v>0.24721931298911015</v>
      </c>
      <c r="E16" s="1" t="s">
        <v>47</v>
      </c>
    </row>
    <row r="17" spans="1:5" x14ac:dyDescent="0.3">
      <c r="A17" s="1" t="s">
        <v>65</v>
      </c>
      <c r="B17" s="6">
        <v>0.20799999999999999</v>
      </c>
      <c r="C17" s="1" t="s">
        <v>47</v>
      </c>
      <c r="D17" s="2">
        <f>B17</f>
        <v>0.20799999999999999</v>
      </c>
      <c r="E17" s="1" t="s">
        <v>47</v>
      </c>
    </row>
    <row r="18" spans="1:5" x14ac:dyDescent="0.3">
      <c r="A18" s="62" t="s">
        <v>49</v>
      </c>
      <c r="B18" s="63"/>
      <c r="C18" s="63"/>
      <c r="D18" s="63"/>
      <c r="E18" s="64"/>
    </row>
    <row r="19" spans="1:5" x14ac:dyDescent="0.3">
      <c r="A19" s="65" t="s">
        <v>39</v>
      </c>
      <c r="B19" s="66"/>
      <c r="C19" s="66"/>
      <c r="D19" s="66"/>
      <c r="E19" s="67"/>
    </row>
    <row r="20" spans="1:5" x14ac:dyDescent="0.3">
      <c r="A20" s="1" t="s">
        <v>50</v>
      </c>
      <c r="B20" s="6">
        <f>[2]TrRail_act!$Q$62</f>
        <v>73.964309621381588</v>
      </c>
      <c r="C20" s="68" t="s">
        <v>59</v>
      </c>
      <c r="D20" s="3" t="s">
        <v>7</v>
      </c>
      <c r="E20" s="1"/>
    </row>
    <row r="21" spans="1:5" x14ac:dyDescent="0.3">
      <c r="A21" s="1" t="s">
        <v>51</v>
      </c>
      <c r="B21" s="6">
        <f>[2]TrRail_act!$Q$63</f>
        <v>84.05035184247906</v>
      </c>
      <c r="C21" s="69"/>
      <c r="D21" s="3" t="s">
        <v>7</v>
      </c>
      <c r="E21" s="1"/>
    </row>
    <row r="22" spans="1:5" x14ac:dyDescent="0.3">
      <c r="A22" s="1" t="s">
        <v>52</v>
      </c>
      <c r="B22" s="6"/>
      <c r="C22" s="70"/>
      <c r="D22" s="3" t="s">
        <v>7</v>
      </c>
      <c r="E22" s="1"/>
    </row>
    <row r="23" spans="1:5" x14ac:dyDescent="0.3">
      <c r="A23" s="65" t="s">
        <v>53</v>
      </c>
      <c r="B23" s="66"/>
      <c r="C23" s="66"/>
      <c r="D23" s="66"/>
      <c r="E23" s="67"/>
    </row>
    <row r="24" spans="1:5" x14ac:dyDescent="0.3">
      <c r="A24" s="1" t="s">
        <v>50</v>
      </c>
      <c r="B24" s="6">
        <f>[2]TrRail_ene!$Q$31</f>
        <v>38.606103813646961</v>
      </c>
      <c r="C24" s="71" t="s">
        <v>60</v>
      </c>
      <c r="D24" s="2">
        <f>B24*11.63/100</f>
        <v>4.489889873527142</v>
      </c>
      <c r="E24" s="71" t="s">
        <v>41</v>
      </c>
    </row>
    <row r="25" spans="1:5" x14ac:dyDescent="0.3">
      <c r="A25" s="1" t="s">
        <v>144</v>
      </c>
      <c r="B25" s="6">
        <f>[2]TrRail_ene!$Q$33</f>
        <v>178.27208240545113</v>
      </c>
      <c r="C25" s="72"/>
      <c r="D25" s="27">
        <f t="shared" ref="D25:D27" si="3">B25*11.63/100</f>
        <v>20.733043183753967</v>
      </c>
      <c r="E25" s="72"/>
    </row>
    <row r="26" spans="1:5" x14ac:dyDescent="0.3">
      <c r="A26" s="1" t="s">
        <v>51</v>
      </c>
      <c r="B26" s="6">
        <f>[2]TrRail_ene!$Q$34</f>
        <v>140.15320548783887</v>
      </c>
      <c r="C26" s="72"/>
      <c r="D26" s="27">
        <f t="shared" si="3"/>
        <v>16.299817798235662</v>
      </c>
      <c r="E26" s="72"/>
    </row>
    <row r="27" spans="1:5" x14ac:dyDescent="0.3">
      <c r="A27" s="1" t="s">
        <v>52</v>
      </c>
      <c r="B27" s="6"/>
      <c r="C27" s="73"/>
      <c r="D27" s="2">
        <f t="shared" si="3"/>
        <v>0</v>
      </c>
      <c r="E27" s="73"/>
    </row>
    <row r="28" spans="1:5" x14ac:dyDescent="0.3">
      <c r="A28" s="65" t="s">
        <v>63</v>
      </c>
      <c r="B28" s="66"/>
      <c r="C28" s="66"/>
      <c r="D28" s="66"/>
      <c r="E28" s="67"/>
    </row>
    <row r="29" spans="1:5" x14ac:dyDescent="0.3">
      <c r="A29" s="1" t="s">
        <v>65</v>
      </c>
      <c r="B29" s="26">
        <f>B17</f>
        <v>0.20799999999999999</v>
      </c>
      <c r="C29" s="1" t="s">
        <v>47</v>
      </c>
      <c r="D29" s="2">
        <f>B29</f>
        <v>0.20799999999999999</v>
      </c>
      <c r="E29" s="1" t="s">
        <v>47</v>
      </c>
    </row>
    <row r="30" spans="1:5" x14ac:dyDescent="0.3">
      <c r="A30" s="62" t="s">
        <v>54</v>
      </c>
      <c r="B30" s="63"/>
      <c r="C30" s="63"/>
      <c r="D30" s="63"/>
      <c r="E30" s="64"/>
    </row>
    <row r="31" spans="1:5" x14ac:dyDescent="0.3">
      <c r="A31" s="1" t="s">
        <v>68</v>
      </c>
      <c r="B31" s="6">
        <f>[2]TrAvia_act!$Q$69</f>
        <v>126.96095912391191</v>
      </c>
      <c r="C31" s="1" t="s">
        <v>67</v>
      </c>
      <c r="D31" s="3" t="s">
        <v>7</v>
      </c>
      <c r="E31" s="1"/>
    </row>
    <row r="32" spans="1:5" x14ac:dyDescent="0.3">
      <c r="A32" s="1" t="s">
        <v>72</v>
      </c>
      <c r="B32" s="6">
        <f>[2]TrAvia_ene!$Q$37</f>
        <v>2697.9067457752076</v>
      </c>
      <c r="C32" s="1" t="s">
        <v>69</v>
      </c>
      <c r="D32" s="28">
        <f>B32*11.63*10^(-3)/B31</f>
        <v>0.24713625093791664</v>
      </c>
      <c r="E32" s="1" t="s">
        <v>55</v>
      </c>
    </row>
    <row r="33" spans="1:5" x14ac:dyDescent="0.3">
      <c r="A33" s="1" t="s">
        <v>71</v>
      </c>
      <c r="B33" s="6">
        <f>[2]TrAvia_emi!$Q$41</f>
        <v>8120.7042702961371</v>
      </c>
      <c r="C33" s="1" t="s">
        <v>70</v>
      </c>
      <c r="D33" s="28">
        <f>B33/B31</f>
        <v>63.962215836527015</v>
      </c>
      <c r="E33" s="1" t="s">
        <v>56</v>
      </c>
    </row>
    <row r="35" spans="1:5" x14ac:dyDescent="0.3">
      <c r="A35" s="58" t="s">
        <v>73</v>
      </c>
      <c r="B35" s="59"/>
      <c r="C35" s="59"/>
      <c r="D35" s="59"/>
      <c r="E35" s="60"/>
    </row>
    <row r="36" spans="1:5" x14ac:dyDescent="0.3">
      <c r="A36" s="44" t="s">
        <v>74</v>
      </c>
      <c r="B36" s="45"/>
      <c r="C36" s="45"/>
      <c r="D36" s="45"/>
      <c r="E36" s="46"/>
    </row>
  </sheetData>
  <mergeCells count="20">
    <mergeCell ref="E8:E13"/>
    <mergeCell ref="A4:E4"/>
    <mergeCell ref="A5:E5"/>
    <mergeCell ref="A7:E7"/>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opLeftCell="A13" zoomScale="70" zoomScaleNormal="70" workbookViewId="0">
      <selection activeCell="C33" sqref="C33:C35"/>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0.20799999999999999</v>
      </c>
    </row>
    <row r="4" spans="1:8" x14ac:dyDescent="0.3">
      <c r="A4" t="s">
        <v>87</v>
      </c>
      <c r="B4">
        <f>'Passenger transport data'!D13</f>
        <v>6.0305412079436636</v>
      </c>
      <c r="C4">
        <f>Tabla4[[#This Row],[ENERGY CONSUMPTION PER VEHICLE]]*H7</f>
        <v>1.3718406017611922</v>
      </c>
      <c r="G4" t="s">
        <v>165</v>
      </c>
      <c r="H4">
        <f>BUS!C16</f>
        <v>0.25623387790197766</v>
      </c>
    </row>
    <row r="5" spans="1:8" x14ac:dyDescent="0.3">
      <c r="A5" t="s">
        <v>179</v>
      </c>
      <c r="B5">
        <f>B4</f>
        <v>6.0305412079436636</v>
      </c>
      <c r="C5">
        <f>Tabla4[[#This Row],[ENERGY CONSUMPTION PER VEHICLE]]*H3</f>
        <v>1.2543525712522821</v>
      </c>
      <c r="G5" t="s">
        <v>180</v>
      </c>
      <c r="H5">
        <f>'Passenger transport data'!D15</f>
        <v>0.26655202063628547</v>
      </c>
    </row>
    <row r="6" spans="1:8" x14ac:dyDescent="0.3">
      <c r="A6" t="s">
        <v>181</v>
      </c>
      <c r="B6">
        <f>B4</f>
        <v>6.0305412079436636</v>
      </c>
      <c r="C6">
        <f>Tabla4[[#This Row],[ENERGY CONSUMPTION PER VEHICLE]]*H4</f>
        <v>1.5452289595590816</v>
      </c>
      <c r="G6" t="s">
        <v>182</v>
      </c>
      <c r="H6">
        <f>BUS!E5</f>
        <v>0.22800000000000001</v>
      </c>
    </row>
    <row r="7" spans="1:8" x14ac:dyDescent="0.3">
      <c r="A7" t="s">
        <v>191</v>
      </c>
      <c r="B7">
        <f>B4</f>
        <v>6.0305412079436636</v>
      </c>
      <c r="C7">
        <f>Tabla4[[#This Row],[ENERGY CONSUMPTION PER VEHICLE]]*H8</f>
        <v>1.3997907654056818</v>
      </c>
      <c r="G7" t="s">
        <v>184</v>
      </c>
      <c r="H7">
        <f>BUS!E2</f>
        <v>0.22748217024935513</v>
      </c>
    </row>
    <row r="8" spans="1:8" x14ac:dyDescent="0.3">
      <c r="A8" t="s">
        <v>183</v>
      </c>
      <c r="B8">
        <f>B4</f>
        <v>6.0305412079436636</v>
      </c>
      <c r="C8">
        <f>Tabla4[[#This Row],[ENERGY CONSUMPTION PER VEHICLE]]*H6</f>
        <v>1.3749633954111553</v>
      </c>
      <c r="G8" t="s">
        <v>192</v>
      </c>
      <c r="H8">
        <f>0.5*H3+0.5*H4</f>
        <v>0.23211693895098884</v>
      </c>
    </row>
    <row r="9" spans="1:8" x14ac:dyDescent="0.3">
      <c r="A9" t="s">
        <v>185</v>
      </c>
      <c r="B9">
        <f>'Passenger transport data'!D26</f>
        <v>16.299817798235662</v>
      </c>
      <c r="C9">
        <f>Tabla4[[#This Row],[ENERGY CONSUMPTION PER VEHICLE]]*H3</f>
        <v>3.3903621020330172</v>
      </c>
    </row>
    <row r="10" spans="1:8" x14ac:dyDescent="0.3">
      <c r="A10" t="s">
        <v>146</v>
      </c>
      <c r="B10">
        <f>'Passenger transport data'!D25</f>
        <v>20.733043183753967</v>
      </c>
      <c r="C10">
        <f>Tabla4[[#This Row],[ENERGY CONSUMPTION PER VEHICLE]]*H5</f>
        <v>5.5264345545689855</v>
      </c>
    </row>
    <row r="11" spans="1:8" x14ac:dyDescent="0.3">
      <c r="A11" t="s">
        <v>103</v>
      </c>
      <c r="B11">
        <f>'Passenger transport data'!D27</f>
        <v>0</v>
      </c>
      <c r="C11">
        <f>Tabla4[[#This Row],[ENERGY CONSUMPTION PER VEHICLE]]*H3</f>
        <v>0</v>
      </c>
    </row>
    <row r="12" spans="1:8" x14ac:dyDescent="0.3">
      <c r="A12" t="s">
        <v>186</v>
      </c>
      <c r="B12">
        <f>'Passenger transport data'!D24</f>
        <v>4.489889873527142</v>
      </c>
      <c r="C12">
        <f>Tabla4[[#This Row],[ENERGY CONSUMPTION PER VEHICLE]]*H3</f>
        <v>0.93389709369364549</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2.7048578383641679</v>
      </c>
      <c r="B17">
        <f>B4/Tabla5[[#This Row],[LEVEL OF OCCUPANCY]]</f>
        <v>2.229522425323021</v>
      </c>
      <c r="C17">
        <f>C4/Tabla5[[#This Row],[LEVEL OF OCCUPANCY]]</f>
        <v>0.50717659993208664</v>
      </c>
    </row>
    <row r="18" spans="1:3" x14ac:dyDescent="0.3">
      <c r="A18" s="37">
        <f>'Passenger transport data'!I5</f>
        <v>8.5058422590068172</v>
      </c>
      <c r="B18">
        <f>B4/Tabla5[[#This Row],[LEVEL OF OCCUPANCY]]</f>
        <v>0.70898813125272064</v>
      </c>
      <c r="C18">
        <f>C4/Tabla5[[#This Row],[LEVEL OF OCCUPANCY]]</f>
        <v>0.16128215877840354</v>
      </c>
    </row>
    <row r="19" spans="1:3" x14ac:dyDescent="0.3">
      <c r="A19" s="37">
        <f>'Passenger transport data'!J5</f>
        <v>14.306826679649467</v>
      </c>
      <c r="B19">
        <f>B4/Tabla5[[#This Row],[LEVEL OF OCCUPANCY]]</f>
        <v>0.42151494129174832</v>
      </c>
      <c r="C19">
        <f>C4/Tabla5[[#This Row],[LEVEL OF OCCUPANCY]]</f>
        <v>9.5887133637576422E-2</v>
      </c>
    </row>
    <row r="20" spans="1:3" x14ac:dyDescent="0.3">
      <c r="A20" t="s">
        <v>179</v>
      </c>
    </row>
    <row r="21" spans="1:3" x14ac:dyDescent="0.3">
      <c r="A21" s="37">
        <f>A17</f>
        <v>2.7048578383641679</v>
      </c>
      <c r="B21">
        <f>B5/Tabla5[[#This Row],[LEVEL OF OCCUPANCY]]</f>
        <v>2.229522425323021</v>
      </c>
      <c r="C21">
        <f>C5/Tabla5[[#This Row],[LEVEL OF OCCUPANCY]]</f>
        <v>0.46374066446718837</v>
      </c>
    </row>
    <row r="22" spans="1:3" x14ac:dyDescent="0.3">
      <c r="A22" s="37">
        <f>A18</f>
        <v>8.5058422590068172</v>
      </c>
      <c r="B22">
        <f>B5/Tabla5[[#This Row],[LEVEL OF OCCUPANCY]]</f>
        <v>0.70898813125272064</v>
      </c>
      <c r="C22">
        <f>C5/Tabla5[[#This Row],[LEVEL OF OCCUPANCY]]</f>
        <v>0.14746953130056592</v>
      </c>
    </row>
    <row r="23" spans="1:3" x14ac:dyDescent="0.3">
      <c r="A23" s="37">
        <f>A19</f>
        <v>14.306826679649467</v>
      </c>
      <c r="B23">
        <f>B5/Tabla5[[#This Row],[LEVEL OF OCCUPANCY]]</f>
        <v>0.42151494129174832</v>
      </c>
      <c r="C23">
        <f>C5/Tabla5[[#This Row],[LEVEL OF OCCUPANCY]]</f>
        <v>8.7675107788683648E-2</v>
      </c>
    </row>
    <row r="24" spans="1:3" x14ac:dyDescent="0.3">
      <c r="A24" t="s">
        <v>181</v>
      </c>
    </row>
    <row r="25" spans="1:3" x14ac:dyDescent="0.3">
      <c r="A25" s="37">
        <f>A17</f>
        <v>2.7048578383641679</v>
      </c>
      <c r="B25">
        <f>B6/Tabla5[[#This Row],[LEVEL OF OCCUPANCY]]</f>
        <v>2.229522425323021</v>
      </c>
      <c r="C25">
        <f>C6/Tabla5[[#This Row],[LEVEL OF OCCUPANCY]]</f>
        <v>0.57127917690994012</v>
      </c>
    </row>
    <row r="26" spans="1:3" x14ac:dyDescent="0.3">
      <c r="A26" s="37">
        <f>A18</f>
        <v>8.5058422590068172</v>
      </c>
      <c r="B26">
        <f>B6/Tabla5[[#This Row],[LEVEL OF OCCUPANCY]]</f>
        <v>0.70898813125272064</v>
      </c>
      <c r="C26">
        <f>C6/Tabla5[[#This Row],[LEVEL OF OCCUPANCY]]</f>
        <v>0.18166677825736094</v>
      </c>
    </row>
    <row r="27" spans="1:3" x14ac:dyDescent="0.3">
      <c r="A27" s="37">
        <f>A19</f>
        <v>14.306826679649467</v>
      </c>
      <c r="B27">
        <f>B6/Tabla5[[#This Row],[LEVEL OF OCCUPANCY]]</f>
        <v>0.42151494129174832</v>
      </c>
      <c r="C27">
        <f>C6/Tabla5[[#This Row],[LEVEL OF OCCUPANCY]]</f>
        <v>0.10800640800080913</v>
      </c>
    </row>
    <row r="28" spans="1:3" x14ac:dyDescent="0.3">
      <c r="A28" s="37" t="s">
        <v>183</v>
      </c>
    </row>
    <row r="29" spans="1:3" x14ac:dyDescent="0.3">
      <c r="A29" s="37">
        <f>A17</f>
        <v>2.7048578383641679</v>
      </c>
      <c r="B29">
        <f>B8/Tabla5[[#This Row],[LEVEL OF OCCUPANCY]]</f>
        <v>2.229522425323021</v>
      </c>
      <c r="C29">
        <f>C8/Tabla5[[#This Row],[LEVEL OF OCCUPANCY]]</f>
        <v>0.50833111297364875</v>
      </c>
    </row>
    <row r="30" spans="1:3" x14ac:dyDescent="0.3">
      <c r="A30" s="37">
        <f>A18</f>
        <v>8.5058422590068172</v>
      </c>
      <c r="B30">
        <f>B8/Tabla5[[#This Row],[LEVEL OF OCCUPANCY]]</f>
        <v>0.70898813125272064</v>
      </c>
      <c r="C30">
        <f>C8/Tabla5[[#This Row],[LEVEL OF OCCUPANCY]]</f>
        <v>0.16164929392562033</v>
      </c>
    </row>
    <row r="31" spans="1:3" x14ac:dyDescent="0.3">
      <c r="A31" s="37">
        <f>A19</f>
        <v>14.306826679649467</v>
      </c>
      <c r="B31">
        <f>B8/Tabla5[[#This Row],[LEVEL OF OCCUPANCY]]</f>
        <v>0.42151494129174832</v>
      </c>
      <c r="C31">
        <f>C8/Tabla5[[#This Row],[LEVEL OF OCCUPANCY]]</f>
        <v>9.6105406614518621E-2</v>
      </c>
    </row>
    <row r="32" spans="1:3" x14ac:dyDescent="0.3">
      <c r="A32" s="37" t="s">
        <v>191</v>
      </c>
    </row>
    <row r="33" spans="1:3" x14ac:dyDescent="0.3">
      <c r="A33" s="37">
        <f>A17</f>
        <v>2.7048578383641679</v>
      </c>
      <c r="B33">
        <f>B7/Tabla5[[#This Row],[LEVEL OF OCCUPANCY]]</f>
        <v>2.229522425323021</v>
      </c>
      <c r="C33">
        <f>C7/Tabla5[[#This Row],[LEVEL OF OCCUPANCY]]</f>
        <v>0.51750992068856427</v>
      </c>
    </row>
    <row r="34" spans="1:3" x14ac:dyDescent="0.3">
      <c r="A34" s="37">
        <f>A18</f>
        <v>8.5058422590068172</v>
      </c>
      <c r="B34">
        <f>B7/Tabla5[[#This Row],[LEVEL OF OCCUPANCY]]</f>
        <v>0.70898813125272064</v>
      </c>
      <c r="C34">
        <f>C7/Tabla5[[#This Row],[LEVEL OF OCCUPANCY]]</f>
        <v>0.16456815477896342</v>
      </c>
    </row>
    <row r="35" spans="1:3" x14ac:dyDescent="0.3">
      <c r="A35" s="37">
        <f>A19</f>
        <v>14.306826679649467</v>
      </c>
      <c r="B35">
        <f>B7/Tabla5[[#This Row],[LEVEL OF OCCUPANCY]]</f>
        <v>0.42151494129174832</v>
      </c>
      <c r="C35">
        <f>C7/Tabla5[[#This Row],[LEVEL OF OCCUPANCY]]</f>
        <v>9.7840757894746389E-2</v>
      </c>
    </row>
    <row r="36" spans="1:3" x14ac:dyDescent="0.3">
      <c r="A36" t="s">
        <v>185</v>
      </c>
    </row>
    <row r="37" spans="1:3" x14ac:dyDescent="0.3">
      <c r="A37" s="37">
        <f>'Passenger transport data'!H7</f>
        <v>26.728011885908341</v>
      </c>
      <c r="B37">
        <f>B9/Tabla5[[#This Row],[LEVEL OF OCCUPANCY]]</f>
        <v>0.6098402630099593</v>
      </c>
      <c r="C37">
        <f>C9/Tabla5[[#This Row],[LEVEL OF OCCUPANCY]]</f>
        <v>0.12684677470607153</v>
      </c>
    </row>
    <row r="38" spans="1:3" x14ac:dyDescent="0.3">
      <c r="A38" s="37">
        <f>'Passenger transport data'!I7</f>
        <v>84.05035184247906</v>
      </c>
      <c r="B38">
        <f>B9/Tabla5[[#This Row],[LEVEL OF OCCUPANCY]]</f>
        <v>0.19392920363716706</v>
      </c>
      <c r="C38">
        <f>C9/Tabla5[[#This Row],[LEVEL OF OCCUPANCY]]</f>
        <v>4.0337274356530742E-2</v>
      </c>
    </row>
    <row r="39" spans="1:3" x14ac:dyDescent="0.3">
      <c r="A39" s="37">
        <f>'Passenger transport data'!J7</f>
        <v>141.37269179904976</v>
      </c>
      <c r="B39">
        <f>B9/Tabla5[[#This Row],[LEVEL OF OCCUPANCY]]</f>
        <v>0.11529679169867246</v>
      </c>
      <c r="C39">
        <f>C9/Tabla5[[#This Row],[LEVEL OF OCCUPANCY]]</f>
        <v>2.3981732673323871E-2</v>
      </c>
    </row>
    <row r="40" spans="1:3" x14ac:dyDescent="0.3">
      <c r="A40" t="s">
        <v>146</v>
      </c>
    </row>
    <row r="41" spans="1:3" x14ac:dyDescent="0.3">
      <c r="A41" s="37">
        <f>A37</f>
        <v>26.728011885908341</v>
      </c>
      <c r="B41">
        <f>B10/Tabla5[[#This Row],[LEVEL OF OCCUPANCY]]</f>
        <v>0.77570465294072</v>
      </c>
      <c r="C41">
        <f>C10/Tabla5[[#This Row],[LEVEL OF OCCUPANCY]]</f>
        <v>0.20676564265831746</v>
      </c>
    </row>
    <row r="42" spans="1:3" x14ac:dyDescent="0.3">
      <c r="A42" s="37">
        <f>A38</f>
        <v>84.05035184247906</v>
      </c>
      <c r="B42">
        <f>B10/Tabla5[[#This Row],[LEVEL OF OCCUPANCY]]</f>
        <v>0.24667407963514895</v>
      </c>
      <c r="C42">
        <f>C10/Tabla5[[#This Row],[LEVEL OF OCCUPANCY]]</f>
        <v>6.5751474365344953E-2</v>
      </c>
    </row>
    <row r="43" spans="1:3" x14ac:dyDescent="0.3">
      <c r="A43" s="37">
        <f>A39</f>
        <v>141.37269179904976</v>
      </c>
      <c r="B43">
        <f>B10/Tabla5[[#This Row],[LEVEL OF OCCUPANCY]]</f>
        <v>0.14665521975930379</v>
      </c>
      <c r="C43">
        <f>C10/Tabla5[[#This Row],[LEVEL OF OCCUPANCY]]</f>
        <v>3.9091245163700925E-2</v>
      </c>
    </row>
    <row r="44" spans="1:3" x14ac:dyDescent="0.3">
      <c r="A44" s="37" t="s">
        <v>103</v>
      </c>
    </row>
    <row r="45" spans="1:3" x14ac:dyDescent="0.3">
      <c r="A45" s="37">
        <f>'Passenger transport data'!H8</f>
        <v>0</v>
      </c>
      <c r="B45" t="e">
        <f>B11/Tabla5[[#This Row],[LEVEL OF OCCUPANCY]]</f>
        <v>#DIV/0!</v>
      </c>
      <c r="C45" t="e">
        <f>C11/Tabla5[[#This Row],[LEVEL OF OCCUPANCY]]</f>
        <v>#DIV/0!</v>
      </c>
    </row>
    <row r="46" spans="1:3" x14ac:dyDescent="0.3">
      <c r="A46" s="37">
        <f>'Passenger transport data'!I8</f>
        <v>0</v>
      </c>
      <c r="B46" t="e">
        <f>B11/Tabla5[[#This Row],[LEVEL OF OCCUPANCY]]</f>
        <v>#DIV/0!</v>
      </c>
      <c r="C46" t="e">
        <f>C11/Tabla5[[#This Row],[LEVEL OF OCCUPANCY]]</f>
        <v>#DIV/0!</v>
      </c>
    </row>
    <row r="47" spans="1:3" x14ac:dyDescent="0.3">
      <c r="A47" s="37">
        <f>'Passenger transport data'!J8</f>
        <v>0</v>
      </c>
      <c r="B47" t="e">
        <f>B11/Tabla5[[#This Row],[LEVEL OF OCCUPANCY]]</f>
        <v>#DIV/0!</v>
      </c>
      <c r="C47" t="e">
        <f>C11/Tabla5[[#This Row],[LEVEL OF OCCUPANCY]]</f>
        <v>#DIV/0!</v>
      </c>
    </row>
    <row r="48" spans="1:3" x14ac:dyDescent="0.3">
      <c r="A48" t="s">
        <v>186</v>
      </c>
    </row>
    <row r="49" spans="1:3" x14ac:dyDescent="0.3">
      <c r="A49" s="37">
        <f>'Passenger transport data'!H6</f>
        <v>23.520650459599345</v>
      </c>
      <c r="B49">
        <f>B12/Tabla5[[#This Row],[LEVEL OF OCCUPANCY]]</f>
        <v>0.19089139908095992</v>
      </c>
      <c r="C49">
        <f>C12/Tabla5[[#This Row],[LEVEL OF OCCUPANCY]]</f>
        <v>3.9705411008839661E-2</v>
      </c>
    </row>
    <row r="50" spans="1:3" x14ac:dyDescent="0.3">
      <c r="A50" s="37">
        <f>'Passenger transport data'!I6</f>
        <v>73.964309621381588</v>
      </c>
      <c r="B50">
        <f>B12/Tabla5[[#This Row],[LEVEL OF OCCUPANCY]]</f>
        <v>6.0703464907745253E-2</v>
      </c>
      <c r="C50">
        <f>C12/Tabla5[[#This Row],[LEVEL OF OCCUPANCY]]</f>
        <v>1.2626320700811013E-2</v>
      </c>
    </row>
    <row r="51" spans="1:3" x14ac:dyDescent="0.3">
      <c r="A51" s="37">
        <f>'Passenger transport data'!J6</f>
        <v>124.40796878316381</v>
      </c>
      <c r="B51">
        <f>B12/Tabla5[[#This Row],[LEVEL OF OCCUPANCY]]</f>
        <v>3.6090050480229049E-2</v>
      </c>
      <c r="C51">
        <f>C12/Tabla5[[#This Row],[LEVEL OF OCCUPANCY]]</f>
        <v>7.5067304998876422E-3</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C7" sqref="C7"/>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31.8</v>
      </c>
      <c r="E2">
        <f>(Tabla1[[#This Row],[% fuel used for buses]]*C10+C3*((C11+C10)/2)+C4*((C12+C13+C14)/3)+C5*C15+C6*C16)/100</f>
        <v>0.22748217024935513</v>
      </c>
      <c r="F2" t="s">
        <v>47</v>
      </c>
    </row>
    <row r="3" spans="2:6" x14ac:dyDescent="0.3">
      <c r="B3" t="s">
        <v>161</v>
      </c>
      <c r="C3">
        <v>44.7</v>
      </c>
    </row>
    <row r="4" spans="2:6" x14ac:dyDescent="0.3">
      <c r="B4" t="s">
        <v>162</v>
      </c>
      <c r="C4">
        <v>3.2</v>
      </c>
      <c r="E4" t="s">
        <v>163</v>
      </c>
    </row>
    <row r="5" spans="2:6" x14ac:dyDescent="0.3">
      <c r="B5" t="s">
        <v>164</v>
      </c>
      <c r="C5">
        <v>0</v>
      </c>
      <c r="E5">
        <f>(C12+C13+C14)/3</f>
        <v>0.22800000000000001</v>
      </c>
      <c r="F5" t="s">
        <v>47</v>
      </c>
    </row>
    <row r="6" spans="2:6" x14ac:dyDescent="0.3">
      <c r="B6" t="s">
        <v>165</v>
      </c>
      <c r="C6">
        <v>20.3</v>
      </c>
    </row>
    <row r="9" spans="2:6" x14ac:dyDescent="0.3">
      <c r="B9" t="s">
        <v>166</v>
      </c>
      <c r="C9" t="s">
        <v>167</v>
      </c>
    </row>
    <row r="10" spans="2:6" x14ac:dyDescent="0.3">
      <c r="B10" t="s">
        <v>168</v>
      </c>
      <c r="C10">
        <f>'Passenger transport data'!D17</f>
        <v>0.20799999999999999</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2.77*1000/11630</f>
        <v>0.23817712811693895</v>
      </c>
    </row>
    <row r="16" spans="2:6" x14ac:dyDescent="0.3">
      <c r="B16" t="s">
        <v>165</v>
      </c>
      <c r="C16">
        <f>2.98*1000/11630</f>
        <v>0.25623387790197766</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5" t="s">
        <v>122</v>
      </c>
      <c r="C2" s="86"/>
      <c r="D2" s="86"/>
      <c r="E2" s="86"/>
      <c r="F2" s="86"/>
      <c r="G2" s="87"/>
      <c r="H2" s="85" t="s">
        <v>123</v>
      </c>
      <c r="I2" s="86"/>
      <c r="J2" s="86"/>
      <c r="K2" s="86"/>
      <c r="L2" s="86"/>
      <c r="M2" s="87"/>
    </row>
    <row r="3" spans="1:13" x14ac:dyDescent="0.3">
      <c r="B3" s="19" t="s">
        <v>104</v>
      </c>
      <c r="G3" s="20"/>
      <c r="H3" s="19" t="s">
        <v>104</v>
      </c>
      <c r="M3" s="20"/>
    </row>
    <row r="4" spans="1:13" x14ac:dyDescent="0.3">
      <c r="B4" s="88" t="s">
        <v>106</v>
      </c>
      <c r="C4">
        <v>4.0000000000000001E-3</v>
      </c>
      <c r="D4" t="s">
        <v>105</v>
      </c>
      <c r="E4" s="89" t="s">
        <v>112</v>
      </c>
      <c r="G4" s="20"/>
      <c r="H4" s="88" t="s">
        <v>106</v>
      </c>
      <c r="I4">
        <f>0.85/100</f>
        <v>8.5000000000000006E-3</v>
      </c>
      <c r="J4" t="s">
        <v>86</v>
      </c>
      <c r="K4" s="41" t="s">
        <v>112</v>
      </c>
      <c r="L4" s="23" t="s">
        <v>132</v>
      </c>
      <c r="M4" s="24"/>
    </row>
    <row r="5" spans="1:13" x14ac:dyDescent="0.3">
      <c r="B5" s="88"/>
      <c r="C5">
        <f>C4*10</f>
        <v>0.04</v>
      </c>
      <c r="D5" t="s">
        <v>86</v>
      </c>
      <c r="E5" s="89"/>
      <c r="F5" t="s">
        <v>149</v>
      </c>
      <c r="G5" s="20">
        <f>BUS!C15*1000</f>
        <v>238.17712811693895</v>
      </c>
      <c r="H5" s="88"/>
      <c r="K5" s="41" t="s">
        <v>150</v>
      </c>
      <c r="L5" s="9" t="s">
        <v>133</v>
      </c>
      <c r="M5" s="20"/>
    </row>
    <row r="6" spans="1:13" x14ac:dyDescent="0.3">
      <c r="B6" s="88"/>
      <c r="C6">
        <v>0.1</v>
      </c>
      <c r="D6" t="s">
        <v>66</v>
      </c>
      <c r="E6" s="89"/>
      <c r="G6" t="s">
        <v>108</v>
      </c>
      <c r="H6" s="88"/>
      <c r="I6">
        <f>2.8/100</f>
        <v>2.7999999999999997E-2</v>
      </c>
      <c r="J6" t="s">
        <v>66</v>
      </c>
      <c r="K6" s="41">
        <f>BUS!E5*1000</f>
        <v>228</v>
      </c>
      <c r="L6" s="9">
        <f>'Passenger transport data'!D16*1000</f>
        <v>247.21931298911016</v>
      </c>
      <c r="M6" s="20" t="s">
        <v>108</v>
      </c>
    </row>
    <row r="7" spans="1:13" x14ac:dyDescent="0.3">
      <c r="B7" s="19" t="s">
        <v>110</v>
      </c>
      <c r="C7">
        <v>80</v>
      </c>
      <c r="D7" t="s">
        <v>111</v>
      </c>
      <c r="E7" s="89"/>
      <c r="G7" s="20"/>
      <c r="H7" s="19" t="s">
        <v>110</v>
      </c>
      <c r="I7">
        <v>70</v>
      </c>
      <c r="J7" t="s">
        <v>111</v>
      </c>
      <c r="K7" s="42" t="s">
        <v>151</v>
      </c>
      <c r="L7" s="47" t="s">
        <v>134</v>
      </c>
      <c r="M7" s="90"/>
    </row>
    <row r="8" spans="1:13" ht="15" thickBot="1" x14ac:dyDescent="0.35">
      <c r="A8" s="83" t="s">
        <v>109</v>
      </c>
      <c r="B8" s="21" t="s">
        <v>107</v>
      </c>
      <c r="C8" s="22">
        <f>F8</f>
        <v>256.23387790197768</v>
      </c>
      <c r="D8" s="22" t="s">
        <v>108</v>
      </c>
      <c r="E8" s="22" t="s">
        <v>147</v>
      </c>
      <c r="F8" s="22">
        <f>BUS!C16*1000</f>
        <v>256.23387790197768</v>
      </c>
      <c r="G8" s="22" t="s">
        <v>108</v>
      </c>
      <c r="H8" s="21" t="s">
        <v>131</v>
      </c>
      <c r="I8" s="22">
        <f>BUS!C10*1000</f>
        <v>208</v>
      </c>
      <c r="J8" s="22" t="s">
        <v>108</v>
      </c>
      <c r="K8" s="43">
        <f>BUS!E2*1000</f>
        <v>227.48217024935514</v>
      </c>
      <c r="L8" s="91"/>
      <c r="M8" s="92"/>
    </row>
    <row r="9" spans="1:13" x14ac:dyDescent="0.3">
      <c r="A9" s="56"/>
      <c r="B9" s="11" t="s">
        <v>113</v>
      </c>
      <c r="C9" s="84" t="s">
        <v>114</v>
      </c>
      <c r="D9" s="84"/>
      <c r="E9" s="84"/>
      <c r="F9" s="84" t="s">
        <v>115</v>
      </c>
      <c r="G9" s="84"/>
      <c r="H9" s="1" t="s">
        <v>116</v>
      </c>
      <c r="I9" s="1" t="s">
        <v>118</v>
      </c>
      <c r="J9" s="1" t="s">
        <v>119</v>
      </c>
      <c r="K9" s="1" t="s">
        <v>117</v>
      </c>
    </row>
    <row r="10" spans="1:13" x14ac:dyDescent="0.3">
      <c r="A10" s="81" t="s">
        <v>152</v>
      </c>
      <c r="B10" s="81"/>
      <c r="C10" s="81"/>
      <c r="D10" s="81"/>
      <c r="E10" s="81"/>
      <c r="F10" s="81"/>
      <c r="G10" s="81"/>
      <c r="H10" s="81"/>
      <c r="I10" s="81"/>
      <c r="J10" s="81"/>
      <c r="K10" s="81"/>
    </row>
    <row r="11" spans="1:13" x14ac:dyDescent="0.3">
      <c r="A11" s="1">
        <v>1</v>
      </c>
      <c r="B11" s="1">
        <v>0</v>
      </c>
      <c r="C11" s="82">
        <f>C$5*B11/100</f>
        <v>0</v>
      </c>
      <c r="D11" s="82"/>
      <c r="E11" s="82"/>
      <c r="F11" s="82">
        <f>'Passenger transport data'!D13</f>
        <v>6.0305412079436636</v>
      </c>
      <c r="G11" s="82"/>
      <c r="H11" s="30">
        <f>F11/A11</f>
        <v>6.0305412079436636</v>
      </c>
      <c r="I11" s="1">
        <v>0</v>
      </c>
      <c r="J11" s="1">
        <f>I$8*F11</f>
        <v>1254.3525712522819</v>
      </c>
      <c r="K11" s="30">
        <f>J11/A11</f>
        <v>1254.3525712522819</v>
      </c>
    </row>
    <row r="12" spans="1:13" x14ac:dyDescent="0.3">
      <c r="A12" s="18">
        <f>'Passenger transport data'!H5</f>
        <v>2.7048578383641679</v>
      </c>
      <c r="B12" s="1">
        <f>C$7*A12</f>
        <v>216.38862706913343</v>
      </c>
      <c r="C12" s="82">
        <f>I$4*B12/100</f>
        <v>1.8393033300876341E-2</v>
      </c>
      <c r="D12" s="82"/>
      <c r="E12" s="82"/>
      <c r="F12" s="82">
        <f>F$11+C12</f>
        <v>6.0489342412445399</v>
      </c>
      <c r="G12" s="82"/>
      <c r="H12" s="27">
        <f t="shared" ref="H12:H14" si="0">F12/A12</f>
        <v>2.2363224253230212</v>
      </c>
      <c r="I12" s="1">
        <f>I$6*B12</f>
        <v>6.0588815579357354</v>
      </c>
      <c r="J12" s="1">
        <f>F12*(I12+J$11)</f>
        <v>7624.1459949605023</v>
      </c>
      <c r="K12" s="27">
        <f>J12/A12</f>
        <v>2818.6863970534582</v>
      </c>
    </row>
    <row r="13" spans="1:13" x14ac:dyDescent="0.3">
      <c r="A13" s="18">
        <f>'Passenger transport data'!I5</f>
        <v>8.5058422590068172</v>
      </c>
      <c r="B13" s="1">
        <f t="shared" ref="B13:B14" si="1">C$7*A13</f>
        <v>680.46738072054541</v>
      </c>
      <c r="C13" s="82">
        <f t="shared" ref="C13:C14" si="2">I$4*B13/100</f>
        <v>5.783972736124636E-2</v>
      </c>
      <c r="D13" s="82"/>
      <c r="E13" s="82"/>
      <c r="F13" s="82">
        <f t="shared" ref="F13:F14" si="3">F$11+C13</f>
        <v>6.0883809353049099</v>
      </c>
      <c r="G13" s="82"/>
      <c r="H13" s="27">
        <f t="shared" si="0"/>
        <v>0.71578813125272067</v>
      </c>
      <c r="I13" s="1">
        <f t="shared" ref="I13:I14" si="4">I$6*B13</f>
        <v>19.053086660175268</v>
      </c>
      <c r="J13" s="1">
        <f>F13*(I13+J$11)</f>
        <v>7752.9787305436103</v>
      </c>
      <c r="K13" s="27">
        <f>J13/A13</f>
        <v>911.488656203799</v>
      </c>
    </row>
    <row r="14" spans="1:13" x14ac:dyDescent="0.3">
      <c r="A14" s="18">
        <f>'Passenger transport data'!J5</f>
        <v>14.306826679649467</v>
      </c>
      <c r="B14" s="1">
        <f t="shared" si="1"/>
        <v>1144.5461343719574</v>
      </c>
      <c r="C14" s="82">
        <f t="shared" si="2"/>
        <v>9.7286421421616379E-2</v>
      </c>
      <c r="D14" s="82"/>
      <c r="E14" s="82"/>
      <c r="F14" s="82">
        <f t="shared" si="3"/>
        <v>6.1278276293652798</v>
      </c>
      <c r="G14" s="82"/>
      <c r="H14" s="27">
        <f t="shared" si="0"/>
        <v>0.4283149412917483</v>
      </c>
      <c r="I14" s="1">
        <f t="shared" si="4"/>
        <v>32.047291762414801</v>
      </c>
      <c r="J14" s="1">
        <f>F14*(I14+J$11)</f>
        <v>7882.8366229931689</v>
      </c>
      <c r="K14" s="27">
        <f>J14/A14</f>
        <v>550.9842818048528</v>
      </c>
    </row>
    <row r="15" spans="1:13" x14ac:dyDescent="0.3">
      <c r="A15" s="81" t="s">
        <v>153</v>
      </c>
      <c r="B15" s="81"/>
      <c r="C15" s="81"/>
      <c r="D15" s="81"/>
      <c r="E15" s="81"/>
      <c r="F15" s="81"/>
      <c r="G15" s="81"/>
      <c r="H15" s="81"/>
      <c r="I15" s="81"/>
      <c r="J15" s="81"/>
      <c r="K15" s="81"/>
    </row>
    <row r="16" spans="1:13" x14ac:dyDescent="0.3">
      <c r="A16" s="1">
        <v>1</v>
      </c>
      <c r="B16" s="1">
        <v>0</v>
      </c>
      <c r="C16" s="82">
        <f>C$5*B16/100</f>
        <v>0</v>
      </c>
      <c r="D16" s="82"/>
      <c r="E16" s="82"/>
      <c r="F16" s="82">
        <f>'Passenger transport data'!D13</f>
        <v>6.0305412079436636</v>
      </c>
      <c r="G16" s="82"/>
      <c r="H16" s="30">
        <f>F16/A16</f>
        <v>6.0305412079436636</v>
      </c>
      <c r="I16" s="1">
        <v>0</v>
      </c>
      <c r="J16" s="1">
        <f>F16*(0.5*C$8+0.5*I$8)</f>
        <v>1399.7907654056819</v>
      </c>
      <c r="K16" s="30">
        <f>J16/A16</f>
        <v>1399.7907654056819</v>
      </c>
    </row>
    <row r="17" spans="1:11" x14ac:dyDescent="0.3">
      <c r="A17" s="18">
        <f>'Passenger transport data'!H5</f>
        <v>2.7048578383641679</v>
      </c>
      <c r="B17" s="1">
        <f>C$7*A17</f>
        <v>216.38862706913343</v>
      </c>
      <c r="C17" s="76">
        <f>B17*(0.5*I$4+0.5*C$5)/100</f>
        <v>5.2474242064264862E-2</v>
      </c>
      <c r="D17" s="77"/>
      <c r="E17" s="78"/>
      <c r="F17" s="76">
        <f>F$16+C17</f>
        <v>6.0830154500079283</v>
      </c>
      <c r="G17" s="78"/>
      <c r="H17" s="27">
        <f>F17/A17</f>
        <v>2.2489224253230211</v>
      </c>
      <c r="I17" s="1">
        <f>B17*(0.5*C$6+0.5*I$6)/100</f>
        <v>0.13848872132424542</v>
      </c>
      <c r="J17" s="1">
        <f>F17*(I17+J$16)</f>
        <v>8515.7912817726537</v>
      </c>
      <c r="K17" s="27">
        <f>J17/A17</f>
        <v>3148.3322934719545</v>
      </c>
    </row>
    <row r="18" spans="1:11" x14ac:dyDescent="0.3">
      <c r="A18" s="18">
        <f>'Passenger transport data'!I5</f>
        <v>8.5058422590068172</v>
      </c>
      <c r="B18" s="1">
        <f t="shared" ref="B18:B19" si="5">C$7*A18</f>
        <v>680.46738072054541</v>
      </c>
      <c r="C18" s="76">
        <f t="shared" ref="C18:C19" si="6">B18*(0.5*I$4+0.5*C$5)/100</f>
        <v>0.16501333982473226</v>
      </c>
      <c r="D18" s="77"/>
      <c r="E18" s="78"/>
      <c r="F18" s="76">
        <f t="shared" ref="F18:F19" si="7">F$16+C18</f>
        <v>6.1955545477683955</v>
      </c>
      <c r="G18" s="78"/>
      <c r="H18" s="27">
        <f t="shared" ref="H18:H19" si="8">F18/A18</f>
        <v>0.72838813125272062</v>
      </c>
      <c r="I18" s="1">
        <f t="shared" ref="I18:I19" si="9">B18*(0.5*C$6+0.5*I$6)/100</f>
        <v>0.43549912366114912</v>
      </c>
      <c r="J18" s="1">
        <f t="shared" ref="J18:J19" si="10">F18*(I18+J$16)</f>
        <v>8675.1782011095238</v>
      </c>
      <c r="K18" s="27">
        <f t="shared" ref="K18:K19" si="11">J18/A18</f>
        <v>1019.9081921515059</v>
      </c>
    </row>
    <row r="19" spans="1:11" x14ac:dyDescent="0.3">
      <c r="A19" s="18">
        <f>'Passenger transport data'!J5</f>
        <v>14.306826679649467</v>
      </c>
      <c r="B19" s="1">
        <f t="shared" si="5"/>
        <v>1144.5461343719574</v>
      </c>
      <c r="C19" s="76">
        <f t="shared" si="6"/>
        <v>0.27755243758519965</v>
      </c>
      <c r="D19" s="77"/>
      <c r="E19" s="78"/>
      <c r="F19" s="76">
        <f t="shared" si="7"/>
        <v>6.3080936455288636</v>
      </c>
      <c r="G19" s="78"/>
      <c r="H19" s="27">
        <f t="shared" si="8"/>
        <v>0.44091494129174835</v>
      </c>
      <c r="I19" s="1">
        <f t="shared" si="9"/>
        <v>0.73250952599805275</v>
      </c>
      <c r="J19" s="1">
        <f t="shared" si="10"/>
        <v>8834.6319710118041</v>
      </c>
      <c r="K19" s="27">
        <f t="shared" si="11"/>
        <v>617.51163754422885</v>
      </c>
    </row>
    <row r="20" spans="1:11" x14ac:dyDescent="0.3">
      <c r="A20" s="81" t="s">
        <v>154</v>
      </c>
      <c r="B20" s="81"/>
      <c r="C20" s="81"/>
      <c r="D20" s="81"/>
      <c r="E20" s="81"/>
      <c r="F20" s="81"/>
      <c r="G20" s="81"/>
      <c r="H20" s="81"/>
      <c r="I20" s="81"/>
      <c r="J20" s="81"/>
      <c r="K20" s="81"/>
    </row>
    <row r="21" spans="1:11" x14ac:dyDescent="0.3">
      <c r="A21" s="1">
        <v>1</v>
      </c>
      <c r="B21" s="1">
        <v>0</v>
      </c>
      <c r="C21" s="76">
        <f>B21*C$5/100</f>
        <v>0</v>
      </c>
      <c r="D21" s="77"/>
      <c r="E21" s="78"/>
      <c r="F21" s="82">
        <f>'Passenger transport data'!D13</f>
        <v>6.0305412079436636</v>
      </c>
      <c r="G21" s="82"/>
      <c r="H21" s="30">
        <f>F21/A21</f>
        <v>6.0305412079436636</v>
      </c>
      <c r="I21" s="1">
        <v>0</v>
      </c>
      <c r="J21" s="1">
        <f>F21*K$6</f>
        <v>1374.9633954111553</v>
      </c>
      <c r="K21" s="30">
        <f>J21/A21</f>
        <v>1374.9633954111553</v>
      </c>
    </row>
    <row r="22" spans="1:11" x14ac:dyDescent="0.3">
      <c r="A22" s="18">
        <f>'Passenger transport data'!H5</f>
        <v>2.7048578383641679</v>
      </c>
      <c r="B22" s="1">
        <f>C$7*A22</f>
        <v>216.38862706913343</v>
      </c>
      <c r="C22" s="76">
        <f>B22*C$5/100</f>
        <v>8.6555450827653382E-2</v>
      </c>
      <c r="D22" s="77"/>
      <c r="E22" s="78"/>
      <c r="F22" s="79">
        <f>F$21+C22</f>
        <v>6.1170966587713167</v>
      </c>
      <c r="G22" s="80"/>
      <c r="H22" s="27">
        <f t="shared" ref="H22:H24" si="12">F22/A22</f>
        <v>2.2615224253230211</v>
      </c>
      <c r="I22" s="1">
        <f>C$6*B22</f>
        <v>21.638862706913343</v>
      </c>
      <c r="J22" s="1">
        <f>F22*(I22+J$21)</f>
        <v>8543.1510067665131</v>
      </c>
      <c r="K22" s="27">
        <f t="shared" ref="K22:K24" si="13">J22/A22</f>
        <v>3158.4473259907818</v>
      </c>
    </row>
    <row r="23" spans="1:11" x14ac:dyDescent="0.3">
      <c r="A23" s="18">
        <f>'Passenger transport data'!I5</f>
        <v>8.5058422590068172</v>
      </c>
      <c r="B23" s="1">
        <f t="shared" ref="B23:B24" si="14">C$7*A23</f>
        <v>680.46738072054541</v>
      </c>
      <c r="C23" s="76">
        <f t="shared" ref="C23:C24" si="15">B23*C$5/100</f>
        <v>0.27218695228821815</v>
      </c>
      <c r="D23" s="77"/>
      <c r="E23" s="78"/>
      <c r="F23" s="76">
        <f>F$21+C23</f>
        <v>6.3027281602318821</v>
      </c>
      <c r="G23" s="78"/>
      <c r="H23" s="27">
        <f t="shared" si="12"/>
        <v>0.74098813125272078</v>
      </c>
      <c r="I23" s="1">
        <f t="shared" ref="I23:I24" si="16">C$6*B23</f>
        <v>68.046738072054538</v>
      </c>
      <c r="J23" s="1">
        <f t="shared" ref="J23:J24" si="17">F23*(I23+J$21)</f>
        <v>9094.9006038045936</v>
      </c>
      <c r="K23" s="27">
        <f t="shared" si="13"/>
        <v>1069.2533821884626</v>
      </c>
    </row>
    <row r="24" spans="1:11" x14ac:dyDescent="0.3">
      <c r="A24" s="18">
        <f>'Passenger transport data'!J5</f>
        <v>14.306826679649467</v>
      </c>
      <c r="B24" s="1">
        <f t="shared" si="14"/>
        <v>1144.5461343719574</v>
      </c>
      <c r="C24" s="76">
        <f t="shared" si="15"/>
        <v>0.45781845374878294</v>
      </c>
      <c r="D24" s="77"/>
      <c r="E24" s="78"/>
      <c r="F24" s="76">
        <f t="shared" ref="F24" si="18">F$21+C24</f>
        <v>6.4883596616924466</v>
      </c>
      <c r="G24" s="78"/>
      <c r="H24" s="27">
        <f t="shared" si="12"/>
        <v>0.45351494129174835</v>
      </c>
      <c r="I24" s="1">
        <f t="shared" si="16"/>
        <v>114.45461343719575</v>
      </c>
      <c r="J24" s="1">
        <f t="shared" si="17"/>
        <v>9663.8797280099243</v>
      </c>
      <c r="K24" s="27">
        <f t="shared" si="13"/>
        <v>675.47332084173263</v>
      </c>
    </row>
    <row r="25" spans="1:11" x14ac:dyDescent="0.3">
      <c r="A25" s="81" t="s">
        <v>155</v>
      </c>
      <c r="B25" s="81"/>
      <c r="C25" s="81"/>
      <c r="D25" s="81"/>
      <c r="E25" s="81"/>
      <c r="F25" s="81"/>
      <c r="G25" s="81"/>
      <c r="H25" s="81"/>
      <c r="I25" s="81"/>
      <c r="J25" s="81"/>
      <c r="K25" s="81"/>
    </row>
    <row r="26" spans="1:11" x14ac:dyDescent="0.3">
      <c r="A26" s="1">
        <v>1</v>
      </c>
      <c r="B26" s="1">
        <v>0</v>
      </c>
      <c r="C26" s="76">
        <f>B26*C$5/100</f>
        <v>0</v>
      </c>
      <c r="D26" s="77"/>
      <c r="E26" s="78"/>
      <c r="F26" s="82">
        <f>'Passenger transport data'!D13</f>
        <v>6.0305412079436636</v>
      </c>
      <c r="G26" s="82"/>
      <c r="H26" s="30">
        <f>F26/A26</f>
        <v>6.0305412079436636</v>
      </c>
      <c r="I26" s="1">
        <v>0</v>
      </c>
      <c r="J26" s="1">
        <f>C$8*F26</f>
        <v>1545.2289595590817</v>
      </c>
      <c r="K26" s="30">
        <f>J26/A26</f>
        <v>1545.2289595590817</v>
      </c>
    </row>
    <row r="27" spans="1:11" x14ac:dyDescent="0.3">
      <c r="A27" s="18">
        <f>'Passenger transport data'!H5</f>
        <v>2.7048578383641679</v>
      </c>
      <c r="B27" s="1">
        <f>C$7*A27</f>
        <v>216.38862706913343</v>
      </c>
      <c r="C27" s="76">
        <f>B27*C$5/100</f>
        <v>8.6555450827653382E-2</v>
      </c>
      <c r="D27" s="77"/>
      <c r="E27" s="78"/>
      <c r="F27" s="79">
        <f>F$26+C27</f>
        <v>6.1170966587713167</v>
      </c>
      <c r="G27" s="80"/>
      <c r="H27" s="27">
        <f>F27/A27</f>
        <v>2.2615224253230211</v>
      </c>
      <c r="I27" s="1">
        <f>C$6*B27</f>
        <v>21.638862706913343</v>
      </c>
      <c r="J27" s="1">
        <f>F27*(I27+J$26)</f>
        <v>9584.6819203196083</v>
      </c>
      <c r="K27" s="27">
        <f>J27/A27</f>
        <v>3543.5067175715935</v>
      </c>
    </row>
    <row r="28" spans="1:11" x14ac:dyDescent="0.3">
      <c r="A28" s="18">
        <f>'Passenger transport data'!I5</f>
        <v>8.5058422590068172</v>
      </c>
      <c r="B28" s="1">
        <f t="shared" ref="B28:B29" si="19">C$7*A28</f>
        <v>680.46738072054541</v>
      </c>
      <c r="C28" s="76">
        <f t="shared" ref="C28:C29" si="20">B28*C$5/100</f>
        <v>0.27218695228821815</v>
      </c>
      <c r="D28" s="77"/>
      <c r="E28" s="78"/>
      <c r="F28" s="79">
        <f t="shared" ref="F28:F29" si="21">F$26+C28</f>
        <v>6.3027281602318821</v>
      </c>
      <c r="G28" s="80"/>
      <c r="H28" s="27">
        <f t="shared" ref="H28:H29" si="22">F28/A28</f>
        <v>0.74098813125272078</v>
      </c>
      <c r="I28" s="1">
        <f t="shared" ref="I28:I29" si="23">C$6*B28</f>
        <v>68.046738072054538</v>
      </c>
      <c r="J28" s="1">
        <f t="shared" ref="J28:J29" si="24">F28*(I28+J$26)</f>
        <v>10168.038169677497</v>
      </c>
      <c r="K28" s="27">
        <f t="shared" ref="K28:K29" si="25">J28/A28</f>
        <v>1195.4181443831249</v>
      </c>
    </row>
    <row r="29" spans="1:11" x14ac:dyDescent="0.3">
      <c r="A29" s="18">
        <f>'Passenger transport data'!J5</f>
        <v>14.306826679649467</v>
      </c>
      <c r="B29" s="1">
        <f t="shared" si="19"/>
        <v>1144.5461343719574</v>
      </c>
      <c r="C29" s="76">
        <f t="shared" si="20"/>
        <v>0.45781845374878294</v>
      </c>
      <c r="D29" s="77"/>
      <c r="E29" s="78"/>
      <c r="F29" s="79">
        <f t="shared" si="21"/>
        <v>6.4883596616924466</v>
      </c>
      <c r="G29" s="80"/>
      <c r="H29" s="27">
        <f t="shared" si="22"/>
        <v>0.45351494129174835</v>
      </c>
      <c r="I29" s="1">
        <f t="shared" si="23"/>
        <v>114.45461343719575</v>
      </c>
      <c r="J29" s="1">
        <f t="shared" si="24"/>
        <v>10768.623946202637</v>
      </c>
      <c r="K29" s="27">
        <f t="shared" si="25"/>
        <v>752.69129817028579</v>
      </c>
    </row>
    <row r="30" spans="1:11" x14ac:dyDescent="0.3">
      <c r="A30" s="81" t="s">
        <v>156</v>
      </c>
      <c r="B30" s="81"/>
      <c r="C30" s="81"/>
      <c r="D30" s="81"/>
      <c r="E30" s="81"/>
      <c r="F30" s="81"/>
      <c r="G30" s="81"/>
      <c r="H30" s="81"/>
      <c r="I30" s="81"/>
      <c r="J30" s="81"/>
      <c r="K30" s="81"/>
    </row>
    <row r="31" spans="1:11" x14ac:dyDescent="0.3">
      <c r="A31" s="1">
        <v>1</v>
      </c>
      <c r="B31" s="1">
        <v>0</v>
      </c>
      <c r="C31" s="76">
        <f>B31*C$5/100</f>
        <v>0</v>
      </c>
      <c r="D31" s="77"/>
      <c r="E31" s="78"/>
      <c r="F31" s="82">
        <f>'Passenger transport data'!D13</f>
        <v>6.0305412079436636</v>
      </c>
      <c r="G31" s="82"/>
      <c r="H31" s="30">
        <f>F31/A31</f>
        <v>6.0305412079436636</v>
      </c>
      <c r="I31" s="1">
        <v>0</v>
      </c>
      <c r="J31" s="1">
        <f>K$8*F31</f>
        <v>1371.8406017611921</v>
      </c>
      <c r="K31" s="30">
        <f>J31/A31</f>
        <v>1371.8406017611921</v>
      </c>
    </row>
    <row r="32" spans="1:11" x14ac:dyDescent="0.3">
      <c r="A32" s="18">
        <f>'Passenger transport data'!H5</f>
        <v>2.7048578383641679</v>
      </c>
      <c r="B32" s="1">
        <f>C$7*A32</f>
        <v>216.38862706913343</v>
      </c>
      <c r="C32" s="76">
        <f>B32*C$5/100</f>
        <v>8.6555450827653382E-2</v>
      </c>
      <c r="D32" s="77"/>
      <c r="E32" s="78"/>
      <c r="F32" s="79">
        <f>F$31+C32</f>
        <v>6.1170966587713167</v>
      </c>
      <c r="G32" s="80"/>
      <c r="H32" s="27">
        <f>F32/A32</f>
        <v>2.2615224253230211</v>
      </c>
      <c r="I32" s="1">
        <f>C$6*B32</f>
        <v>21.638862706913343</v>
      </c>
      <c r="J32" s="1">
        <f>F32*(I32+J$31)</f>
        <v>8524.0485761642922</v>
      </c>
      <c r="K32" s="27">
        <f t="shared" ref="K32:K34" si="26">J32/A32</f>
        <v>3151.3850581217343</v>
      </c>
    </row>
    <row r="33" spans="1:11" x14ac:dyDescent="0.3">
      <c r="A33" s="18">
        <f>'Passenger transport data'!I5</f>
        <v>8.5058422590068172</v>
      </c>
      <c r="B33" s="1">
        <f t="shared" ref="B33:B34" si="27">C$7*A33</f>
        <v>680.46738072054541</v>
      </c>
      <c r="C33" s="76">
        <f t="shared" ref="C33:C34" si="28">B33*C$5/100</f>
        <v>0.27218695228821815</v>
      </c>
      <c r="D33" s="77"/>
      <c r="E33" s="78"/>
      <c r="F33" s="79">
        <f t="shared" ref="F33:F34" si="29">F$31+C33</f>
        <v>6.3027281602318821</v>
      </c>
      <c r="G33" s="80"/>
      <c r="H33" s="27">
        <f t="shared" ref="H33:H34" si="30">F33/A33</f>
        <v>0.74098813125272078</v>
      </c>
      <c r="I33" s="1">
        <f t="shared" ref="I33:I34" si="31">C$6*B33</f>
        <v>68.046738072054538</v>
      </c>
      <c r="J33" s="1">
        <f t="shared" ref="J33:J34" si="32">F33*(I33+J$31)</f>
        <v>9075.2184843283776</v>
      </c>
      <c r="K33" s="27">
        <f t="shared" si="26"/>
        <v>1066.9394291574886</v>
      </c>
    </row>
    <row r="34" spans="1:11" x14ac:dyDescent="0.3">
      <c r="A34" s="18">
        <f>'Passenger transport data'!J5</f>
        <v>14.306826679649467</v>
      </c>
      <c r="B34" s="1">
        <f t="shared" si="27"/>
        <v>1144.5461343719574</v>
      </c>
      <c r="C34" s="76">
        <f t="shared" si="28"/>
        <v>0.45781845374878294</v>
      </c>
      <c r="D34" s="77"/>
      <c r="E34" s="78"/>
      <c r="F34" s="79">
        <f t="shared" si="29"/>
        <v>6.4883596616924466</v>
      </c>
      <c r="G34" s="80"/>
      <c r="H34" s="27">
        <f t="shared" si="30"/>
        <v>0.45351494129174835</v>
      </c>
      <c r="I34" s="1">
        <f t="shared" si="31"/>
        <v>114.45461343719575</v>
      </c>
      <c r="J34" s="1">
        <f t="shared" si="32"/>
        <v>9643.617919659715</v>
      </c>
      <c r="K34" s="27">
        <f t="shared" si="26"/>
        <v>674.05708726290345</v>
      </c>
    </row>
  </sheetData>
  <mergeCells count="54">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2:E22"/>
    <mergeCell ref="F22:G22"/>
    <mergeCell ref="C23:E23"/>
    <mergeCell ref="F23:G23"/>
    <mergeCell ref="C24:E24"/>
    <mergeCell ref="F24:G24"/>
    <mergeCell ref="C19:E19"/>
    <mergeCell ref="F19:G19"/>
    <mergeCell ref="A20:K20"/>
    <mergeCell ref="C21:E21"/>
    <mergeCell ref="F21:G21"/>
    <mergeCell ref="C28:E28"/>
    <mergeCell ref="F28:G28"/>
    <mergeCell ref="A25:K25"/>
    <mergeCell ref="C26:E26"/>
    <mergeCell ref="F26:G26"/>
    <mergeCell ref="C27:E27"/>
    <mergeCell ref="F27:G27"/>
    <mergeCell ref="C33:E33"/>
    <mergeCell ref="F33:G33"/>
    <mergeCell ref="C34:E34"/>
    <mergeCell ref="F34:G34"/>
    <mergeCell ref="C29:E29"/>
    <mergeCell ref="F29:G29"/>
    <mergeCell ref="A30:K30"/>
    <mergeCell ref="C31:E31"/>
    <mergeCell ref="F31:G31"/>
    <mergeCell ref="C32:E32"/>
    <mergeCell ref="F32:G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topLeftCell="H1" zoomScale="80" zoomScaleNormal="80" workbookViewId="0">
      <selection activeCell="K17" sqref="K17:K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122</v>
      </c>
      <c r="C2" s="86"/>
      <c r="D2" s="86"/>
      <c r="E2" s="86"/>
      <c r="F2" s="86"/>
      <c r="G2" s="87"/>
    </row>
    <row r="3" spans="1:11" x14ac:dyDescent="0.3">
      <c r="B3" s="19" t="s">
        <v>104</v>
      </c>
      <c r="C3" s="8"/>
      <c r="D3" s="8"/>
      <c r="E3" s="8"/>
      <c r="F3" s="8"/>
      <c r="G3" s="20"/>
    </row>
    <row r="4" spans="1:11" x14ac:dyDescent="0.3">
      <c r="B4" s="88" t="s">
        <v>106</v>
      </c>
      <c r="C4" s="8">
        <v>4.0000000000000001E-3</v>
      </c>
      <c r="D4" s="8" t="s">
        <v>105</v>
      </c>
      <c r="E4" s="93" t="s">
        <v>112</v>
      </c>
      <c r="F4" s="8"/>
      <c r="G4" s="20"/>
    </row>
    <row r="5" spans="1:11" x14ac:dyDescent="0.3">
      <c r="B5" s="88"/>
      <c r="C5" s="8">
        <f>C4*10</f>
        <v>0.04</v>
      </c>
      <c r="D5" s="8" t="s">
        <v>86</v>
      </c>
      <c r="E5" s="93"/>
      <c r="F5" s="8"/>
      <c r="G5" s="20"/>
    </row>
    <row r="6" spans="1:11" x14ac:dyDescent="0.3">
      <c r="B6" s="88"/>
      <c r="C6" s="8">
        <v>0.1</v>
      </c>
      <c r="D6" s="8" t="s">
        <v>66</v>
      </c>
      <c r="E6" s="93"/>
      <c r="F6" s="8"/>
      <c r="G6" s="20"/>
    </row>
    <row r="7" spans="1:11" x14ac:dyDescent="0.3">
      <c r="B7" s="19" t="s">
        <v>110</v>
      </c>
      <c r="C7" s="8">
        <v>80</v>
      </c>
      <c r="D7" s="8" t="s">
        <v>111</v>
      </c>
      <c r="E7" s="93"/>
      <c r="F7" s="8"/>
      <c r="G7" s="20"/>
    </row>
    <row r="8" spans="1:11" ht="15" thickBot="1" x14ac:dyDescent="0.35">
      <c r="A8" s="83" t="s">
        <v>109</v>
      </c>
      <c r="B8" s="21" t="s">
        <v>107</v>
      </c>
      <c r="C8" s="25">
        <f>'Passenger transport data'!D16*10^3</f>
        <v>247.21931298911016</v>
      </c>
      <c r="D8" s="22" t="s">
        <v>108</v>
      </c>
      <c r="E8" s="22" t="s">
        <v>147</v>
      </c>
      <c r="F8" s="22">
        <f>'Passenger transport data'!D15*10^3</f>
        <v>266.55202063628548</v>
      </c>
      <c r="G8" s="22" t="s">
        <v>108</v>
      </c>
    </row>
    <row r="9" spans="1:11" x14ac:dyDescent="0.3">
      <c r="A9" s="56"/>
      <c r="B9" s="11" t="s">
        <v>113</v>
      </c>
      <c r="C9" s="84" t="s">
        <v>114</v>
      </c>
      <c r="D9" s="84"/>
      <c r="E9" s="84"/>
      <c r="F9" s="84" t="s">
        <v>115</v>
      </c>
      <c r="G9" s="84"/>
      <c r="H9" s="1" t="s">
        <v>116</v>
      </c>
      <c r="I9" s="1" t="s">
        <v>118</v>
      </c>
      <c r="J9" s="1" t="s">
        <v>119</v>
      </c>
      <c r="K9" s="1" t="s">
        <v>117</v>
      </c>
    </row>
    <row r="10" spans="1:11" x14ac:dyDescent="0.3">
      <c r="A10" s="81" t="s">
        <v>120</v>
      </c>
      <c r="B10" s="81"/>
      <c r="C10" s="81"/>
      <c r="D10" s="81"/>
      <c r="E10" s="81"/>
      <c r="F10" s="81"/>
      <c r="G10" s="81"/>
      <c r="H10" s="81"/>
      <c r="I10" s="81"/>
      <c r="J10" s="81"/>
      <c r="K10" s="81"/>
    </row>
    <row r="11" spans="1:11" x14ac:dyDescent="0.3">
      <c r="A11" s="1">
        <v>1</v>
      </c>
      <c r="B11" s="1">
        <v>0</v>
      </c>
      <c r="C11" s="82">
        <f>C$5*B11/100</f>
        <v>0</v>
      </c>
      <c r="D11" s="82"/>
      <c r="E11" s="82"/>
      <c r="F11" s="98">
        <f>'Passenger transport data'!D10</f>
        <v>0.69333268313380203</v>
      </c>
      <c r="G11" s="98"/>
      <c r="H11" s="27">
        <f>F11/A11</f>
        <v>0.69333268313380203</v>
      </c>
      <c r="I11" s="1">
        <v>0</v>
      </c>
      <c r="J11" s="1">
        <f>C$8*F11</f>
        <v>171.40522959723495</v>
      </c>
      <c r="K11" s="27">
        <f>J11/A11</f>
        <v>171.40522959723495</v>
      </c>
    </row>
    <row r="12" spans="1:11" x14ac:dyDescent="0.3">
      <c r="A12" s="1">
        <v>2</v>
      </c>
      <c r="B12" s="1">
        <f>B11+C$7</f>
        <v>80</v>
      </c>
      <c r="C12" s="82">
        <f>C$5*B12/100</f>
        <v>3.2000000000000001E-2</v>
      </c>
      <c r="D12" s="82"/>
      <c r="E12" s="82"/>
      <c r="F12" s="82">
        <f>F$11+C12</f>
        <v>0.72533268313380206</v>
      </c>
      <c r="G12" s="82"/>
      <c r="H12" s="27">
        <f t="shared" ref="H12:H15" si="0">F12/A12</f>
        <v>0.36266634156690103</v>
      </c>
      <c r="I12" s="1">
        <f>C$6*B12</f>
        <v>8</v>
      </c>
      <c r="J12" s="1">
        <f>F12*(I12+J$11)</f>
        <v>130.12847655199823</v>
      </c>
      <c r="K12" s="27">
        <f t="shared" ref="K12:K15" si="1">J12/A12</f>
        <v>65.064238275999116</v>
      </c>
    </row>
    <row r="13" spans="1:11" x14ac:dyDescent="0.3">
      <c r="A13" s="1">
        <v>3</v>
      </c>
      <c r="B13" s="1">
        <f t="shared" ref="B13:B15" si="2">B12+C$7</f>
        <v>160</v>
      </c>
      <c r="C13" s="82">
        <f>C$5*B13/100</f>
        <v>6.4000000000000001E-2</v>
      </c>
      <c r="D13" s="82"/>
      <c r="E13" s="82"/>
      <c r="F13" s="82">
        <f t="shared" ref="F13:F15" si="3">F$11+C13</f>
        <v>0.75733268313380209</v>
      </c>
      <c r="G13" s="82"/>
      <c r="H13" s="27">
        <f t="shared" si="0"/>
        <v>0.25244422771126734</v>
      </c>
      <c r="I13" s="1">
        <f t="shared" ref="I13:I15" si="4">C$6*B13</f>
        <v>16</v>
      </c>
      <c r="J13" s="1">
        <f t="shared" ref="J13:J15" si="5">F13*(I13+J$11)</f>
        <v>141.92810536418017</v>
      </c>
      <c r="K13" s="27">
        <f t="shared" si="1"/>
        <v>47.309368454726723</v>
      </c>
    </row>
    <row r="14" spans="1:11" x14ac:dyDescent="0.3">
      <c r="A14" s="1">
        <v>4</v>
      </c>
      <c r="B14" s="1">
        <f t="shared" si="2"/>
        <v>240</v>
      </c>
      <c r="C14" s="82">
        <f>C$5*B14/100</f>
        <v>9.6000000000000002E-2</v>
      </c>
      <c r="D14" s="82"/>
      <c r="E14" s="82"/>
      <c r="F14" s="82">
        <f t="shared" si="3"/>
        <v>0.789332683133802</v>
      </c>
      <c r="G14" s="82"/>
      <c r="H14" s="27">
        <f t="shared" si="0"/>
        <v>0.1973331707834505</v>
      </c>
      <c r="I14" s="1">
        <f t="shared" si="4"/>
        <v>24</v>
      </c>
      <c r="J14" s="1">
        <f t="shared" si="5"/>
        <v>154.23973417636208</v>
      </c>
      <c r="K14" s="27">
        <f t="shared" si="1"/>
        <v>38.559933544090519</v>
      </c>
    </row>
    <row r="15" spans="1:11" x14ac:dyDescent="0.3">
      <c r="A15" s="1">
        <v>5</v>
      </c>
      <c r="B15" s="1">
        <f t="shared" si="2"/>
        <v>320</v>
      </c>
      <c r="C15" s="82">
        <f>C$5*B15/100</f>
        <v>0.128</v>
      </c>
      <c r="D15" s="82"/>
      <c r="E15" s="82"/>
      <c r="F15" s="82">
        <f t="shared" si="3"/>
        <v>0.82133268313380203</v>
      </c>
      <c r="G15" s="82"/>
      <c r="H15" s="27">
        <f t="shared" si="0"/>
        <v>0.16426653662676041</v>
      </c>
      <c r="I15" s="1">
        <f t="shared" si="4"/>
        <v>32</v>
      </c>
      <c r="J15" s="1">
        <f t="shared" si="5"/>
        <v>167.06336298854401</v>
      </c>
      <c r="K15" s="27">
        <f t="shared" si="1"/>
        <v>33.412672597708806</v>
      </c>
    </row>
    <row r="16" spans="1:11" x14ac:dyDescent="0.3">
      <c r="A16" s="81" t="s">
        <v>121</v>
      </c>
      <c r="B16" s="81"/>
      <c r="C16" s="81"/>
      <c r="D16" s="81"/>
      <c r="E16" s="81"/>
      <c r="F16" s="81"/>
      <c r="G16" s="81"/>
      <c r="H16" s="81"/>
      <c r="I16" s="81"/>
      <c r="J16" s="81"/>
      <c r="K16" s="81"/>
    </row>
    <row r="17" spans="1:11" x14ac:dyDescent="0.3">
      <c r="A17" s="1">
        <v>1</v>
      </c>
      <c r="B17" s="1">
        <v>0</v>
      </c>
      <c r="C17" s="82">
        <f>C$5*B17/100</f>
        <v>0</v>
      </c>
      <c r="D17" s="82"/>
      <c r="E17" s="82"/>
      <c r="F17" s="98">
        <f>'Passenger transport data'!D8</f>
        <v>0.44161528879129269</v>
      </c>
      <c r="G17" s="98"/>
      <c r="H17" s="27">
        <f>F17/A17</f>
        <v>0.44161528879129269</v>
      </c>
      <c r="I17" s="1">
        <v>0</v>
      </c>
      <c r="J17" s="1">
        <f>C$8*F17</f>
        <v>109.17582830047087</v>
      </c>
      <c r="K17" s="27">
        <f>J17/A17</f>
        <v>109.17582830047087</v>
      </c>
    </row>
    <row r="18" spans="1:11" x14ac:dyDescent="0.3">
      <c r="A18" s="1">
        <v>2</v>
      </c>
      <c r="B18" s="1">
        <f>C7+B17</f>
        <v>80</v>
      </c>
      <c r="C18" s="82">
        <f>C$5*B18/100</f>
        <v>3.2000000000000001E-2</v>
      </c>
      <c r="D18" s="82"/>
      <c r="E18" s="82"/>
      <c r="F18" s="82">
        <f>F17+C18</f>
        <v>0.47361528879129267</v>
      </c>
      <c r="G18" s="82"/>
      <c r="H18" s="27">
        <f>F18/A18</f>
        <v>0.23680764439564633</v>
      </c>
      <c r="I18" s="1">
        <f>C6*B18</f>
        <v>8</v>
      </c>
      <c r="J18" s="1">
        <f>F18*(I18+J17)</f>
        <v>55.496263759886432</v>
      </c>
      <c r="K18" s="27">
        <f>J18/A18</f>
        <v>27.748131879943216</v>
      </c>
    </row>
    <row r="19" spans="1:11" x14ac:dyDescent="0.3">
      <c r="A19" s="81" t="s">
        <v>87</v>
      </c>
      <c r="B19" s="81"/>
      <c r="C19" s="81"/>
      <c r="D19" s="81"/>
      <c r="E19" s="81"/>
      <c r="F19" s="81"/>
      <c r="G19" s="81"/>
      <c r="H19" s="81"/>
      <c r="I19" s="81"/>
      <c r="J19" s="81"/>
      <c r="K19" s="81"/>
    </row>
    <row r="20" spans="1:11" x14ac:dyDescent="0.3">
      <c r="A20" s="1">
        <v>1</v>
      </c>
      <c r="B20" s="1">
        <v>0</v>
      </c>
      <c r="C20" s="76">
        <f>B20*C$5/100</f>
        <v>0</v>
      </c>
      <c r="D20" s="77"/>
      <c r="E20" s="78"/>
      <c r="F20" s="94">
        <f>'Passenger transport data'!D13</f>
        <v>6.0305412079436636</v>
      </c>
      <c r="G20" s="95"/>
      <c r="H20" s="30">
        <f>F20/A20</f>
        <v>6.0305412079436636</v>
      </c>
      <c r="I20" s="1">
        <v>0</v>
      </c>
      <c r="J20" s="1">
        <f>C$8*F20</f>
        <v>1490.8662543803509</v>
      </c>
      <c r="K20" s="1">
        <f>J20/A20</f>
        <v>1490.8662543803509</v>
      </c>
    </row>
    <row r="21" spans="1:11" x14ac:dyDescent="0.3">
      <c r="A21" s="18">
        <f>'Passenger transport data'!H5</f>
        <v>2.7048578383641679</v>
      </c>
      <c r="B21" s="1">
        <f>C$7*A21</f>
        <v>216.38862706913343</v>
      </c>
      <c r="C21" s="76">
        <f>B21*C$5/100</f>
        <v>8.6555450827653382E-2</v>
      </c>
      <c r="D21" s="77"/>
      <c r="E21" s="78"/>
      <c r="F21" s="96">
        <f>F$20+C21</f>
        <v>6.1170966587713167</v>
      </c>
      <c r="G21" s="97"/>
      <c r="H21" s="27">
        <f t="shared" ref="H21:H23" si="6">F21/A21</f>
        <v>2.2615224253230211</v>
      </c>
      <c r="I21" s="1">
        <f>C$6*B21</f>
        <v>21.638862706913343</v>
      </c>
      <c r="J21" s="1">
        <f>F21*(I21+J$20)</f>
        <v>9252.1399981090235</v>
      </c>
      <c r="K21" s="27">
        <f t="shared" ref="K21:K23" si="7">J21/A21</f>
        <v>3420.5642407086698</v>
      </c>
    </row>
    <row r="22" spans="1:11" x14ac:dyDescent="0.3">
      <c r="A22" s="18">
        <f>'Passenger transport data'!I5</f>
        <v>8.5058422590068172</v>
      </c>
      <c r="B22" s="1">
        <f t="shared" ref="B22:B23" si="8">C$7*A22</f>
        <v>680.46738072054541</v>
      </c>
      <c r="C22" s="76">
        <f t="shared" ref="C22:C23" si="9">B22*C$5/100</f>
        <v>0.27218695228821815</v>
      </c>
      <c r="D22" s="77"/>
      <c r="E22" s="78"/>
      <c r="F22" s="76">
        <f>F$20+C22</f>
        <v>6.3027281602318821</v>
      </c>
      <c r="G22" s="78"/>
      <c r="H22" s="27">
        <f t="shared" si="6"/>
        <v>0.74098813125272078</v>
      </c>
      <c r="I22" s="1">
        <f t="shared" ref="I22:I23" si="10">C$6*B22</f>
        <v>68.046738072054538</v>
      </c>
      <c r="J22" s="1">
        <f t="shared" ref="J22:J23" si="11">F22*(I22+J$20)</f>
        <v>9825.4048168811278</v>
      </c>
      <c r="K22" s="27">
        <f t="shared" si="7"/>
        <v>1155.1360250628948</v>
      </c>
    </row>
    <row r="23" spans="1:11" x14ac:dyDescent="0.3">
      <c r="A23" s="18">
        <f>'Passenger transport data'!J5</f>
        <v>14.306826679649467</v>
      </c>
      <c r="B23" s="1">
        <f t="shared" si="8"/>
        <v>1144.5461343719574</v>
      </c>
      <c r="C23" s="76">
        <f t="shared" si="9"/>
        <v>0.45781845374878294</v>
      </c>
      <c r="D23" s="77"/>
      <c r="E23" s="78"/>
      <c r="F23" s="76">
        <f t="shared" ref="F23" si="12">F$20+C23</f>
        <v>6.4883596616924466</v>
      </c>
      <c r="G23" s="78"/>
      <c r="H23" s="27">
        <f t="shared" si="6"/>
        <v>0.45351494129174835</v>
      </c>
      <c r="I23" s="1">
        <f t="shared" si="10"/>
        <v>114.45461343719575</v>
      </c>
      <c r="J23" s="1">
        <f t="shared" si="11"/>
        <v>10415.899162820482</v>
      </c>
      <c r="K23" s="27">
        <f t="shared" si="7"/>
        <v>728.03699912269315</v>
      </c>
    </row>
    <row r="24" spans="1:11" x14ac:dyDescent="0.3">
      <c r="A24" t="s">
        <v>146</v>
      </c>
    </row>
    <row r="25" spans="1:11" x14ac:dyDescent="0.3">
      <c r="A25">
        <v>1</v>
      </c>
      <c r="B25" s="1">
        <v>0</v>
      </c>
      <c r="C25" s="76">
        <f>B25*C$5/100</f>
        <v>0</v>
      </c>
      <c r="D25" s="77"/>
      <c r="E25" s="78"/>
      <c r="F25" s="76">
        <f>'[3]Passenger transport data'!D25</f>
        <v>19.224390000000003</v>
      </c>
      <c r="G25" s="78"/>
      <c r="H25" s="30">
        <f>F25/A25</f>
        <v>19.224390000000003</v>
      </c>
      <c r="I25" s="1">
        <v>0</v>
      </c>
      <c r="J25" s="1">
        <f>F$8*F25</f>
        <v>5124.3000000000011</v>
      </c>
      <c r="K25" s="30">
        <f>J25/A25</f>
        <v>5124.3000000000011</v>
      </c>
    </row>
    <row r="26" spans="1:11" x14ac:dyDescent="0.3">
      <c r="A26" s="37">
        <f>'Passenger transport data'!H7</f>
        <v>26.728011885908341</v>
      </c>
      <c r="B26" s="1">
        <f>C$7*A26</f>
        <v>2138.2409508726673</v>
      </c>
      <c r="C26" s="76">
        <f>B26*C$5/100</f>
        <v>0.85529638034906696</v>
      </c>
      <c r="D26" s="77"/>
      <c r="E26" s="78"/>
      <c r="F26" s="79">
        <f>F$25+C26</f>
        <v>20.07968638034907</v>
      </c>
      <c r="G26" s="80"/>
      <c r="H26" s="27">
        <f t="shared" ref="H26:H28" si="13">F26/A26</f>
        <v>0.7512600063955962</v>
      </c>
      <c r="I26" s="1">
        <f>C$6*B26</f>
        <v>213.82409508726676</v>
      </c>
      <c r="J26" s="1">
        <f>F26*(I26+J$25)</f>
        <v>107187.85768873701</v>
      </c>
      <c r="K26" s="27">
        <f t="shared" ref="K26:K28" si="14">J26/A26</f>
        <v>4010.3191418157467</v>
      </c>
    </row>
    <row r="27" spans="1:11" x14ac:dyDescent="0.3">
      <c r="A27" s="37">
        <f>'Passenger transport data'!I7</f>
        <v>84.05035184247906</v>
      </c>
      <c r="B27" s="1">
        <f t="shared" ref="B27" si="15">C$7*A27</f>
        <v>6724.028147398325</v>
      </c>
      <c r="C27" s="76">
        <f t="shared" ref="C27:C28" si="16">B27*C$5/100</f>
        <v>2.6896112589593297</v>
      </c>
      <c r="D27" s="77"/>
      <c r="E27" s="78"/>
      <c r="F27" s="79">
        <f t="shared" ref="F27:F28" si="17">F$25+C27</f>
        <v>21.914001258959331</v>
      </c>
      <c r="G27" s="80"/>
      <c r="H27" s="27">
        <f t="shared" si="13"/>
        <v>0.26072468203379956</v>
      </c>
      <c r="I27" s="1">
        <f t="shared" ref="I27" si="18">C$6*B27</f>
        <v>672.40281473983259</v>
      </c>
      <c r="J27" s="1">
        <f t="shared" ref="J27:J28" si="19">F27*(I27+J$25)</f>
        <v>127028.95278002182</v>
      </c>
      <c r="K27" s="27">
        <f t="shared" si="14"/>
        <v>1511.343498217474</v>
      </c>
    </row>
    <row r="28" spans="1:11" x14ac:dyDescent="0.3">
      <c r="A28" s="37">
        <f>'Passenger transport data'!J7</f>
        <v>141.37269179904976</v>
      </c>
      <c r="B28" s="1">
        <f>C$7*A28</f>
        <v>11309.815343923981</v>
      </c>
      <c r="C28" s="76">
        <f t="shared" si="16"/>
        <v>4.5239261375695925</v>
      </c>
      <c r="D28" s="77"/>
      <c r="E28" s="78"/>
      <c r="F28" s="79">
        <f t="shared" si="17"/>
        <v>23.748316137569596</v>
      </c>
      <c r="G28" s="80"/>
      <c r="H28" s="27">
        <f t="shared" si="13"/>
        <v>0.16798375864078455</v>
      </c>
      <c r="I28" s="1">
        <f>C$6*B28</f>
        <v>1130.9815343923981</v>
      </c>
      <c r="J28" s="1">
        <f t="shared" si="19"/>
        <v>148552.40340825211</v>
      </c>
      <c r="K28" s="27">
        <f t="shared" si="14"/>
        <v>1050.7857035035292</v>
      </c>
    </row>
  </sheetData>
  <mergeCells count="39">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3:E23"/>
    <mergeCell ref="F20:G20"/>
    <mergeCell ref="F21:G21"/>
    <mergeCell ref="F22:G22"/>
    <mergeCell ref="F23:G23"/>
    <mergeCell ref="F13:G13"/>
    <mergeCell ref="F14:G14"/>
    <mergeCell ref="F15:G15"/>
    <mergeCell ref="E4:E7"/>
    <mergeCell ref="C22:E22"/>
    <mergeCell ref="B4:B6"/>
    <mergeCell ref="C9:E9"/>
    <mergeCell ref="F9:G9"/>
    <mergeCell ref="C11:E11"/>
    <mergeCell ref="F12:G12"/>
    <mergeCell ref="C28:E28"/>
    <mergeCell ref="F28:G28"/>
    <mergeCell ref="C25:E25"/>
    <mergeCell ref="F25:G25"/>
    <mergeCell ref="C26:E26"/>
    <mergeCell ref="F26:G26"/>
    <mergeCell ref="C27:E27"/>
    <mergeCell ref="F27:G2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tabSelected="1" topLeftCell="E1" zoomScale="80" zoomScaleNormal="80" workbookViewId="0">
      <selection activeCell="H28" sqref="H2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123</v>
      </c>
      <c r="C2" s="86"/>
      <c r="D2" s="86"/>
      <c r="E2" s="86"/>
      <c r="F2" s="86"/>
      <c r="G2" s="87"/>
    </row>
    <row r="3" spans="1:11" x14ac:dyDescent="0.3">
      <c r="B3" s="19" t="s">
        <v>104</v>
      </c>
      <c r="C3" s="8"/>
      <c r="D3" s="8"/>
      <c r="E3" s="8"/>
      <c r="F3" s="8"/>
      <c r="G3" s="20"/>
    </row>
    <row r="4" spans="1:11" x14ac:dyDescent="0.3">
      <c r="B4" s="88" t="s">
        <v>106</v>
      </c>
      <c r="C4" s="8">
        <f>0.85/100</f>
        <v>8.5000000000000006E-3</v>
      </c>
      <c r="D4" s="8" t="s">
        <v>86</v>
      </c>
      <c r="E4" s="93" t="s">
        <v>112</v>
      </c>
      <c r="F4" s="23" t="s">
        <v>132</v>
      </c>
      <c r="G4" s="24"/>
    </row>
    <row r="5" spans="1:11" x14ac:dyDescent="0.3">
      <c r="B5" s="88"/>
      <c r="C5" s="8"/>
      <c r="D5" s="8"/>
      <c r="E5" s="93"/>
      <c r="F5" s="9" t="s">
        <v>133</v>
      </c>
      <c r="G5" s="20"/>
    </row>
    <row r="6" spans="1:11" x14ac:dyDescent="0.3">
      <c r="B6" s="88"/>
      <c r="C6" s="8">
        <f>2.8/100</f>
        <v>2.7999999999999997E-2</v>
      </c>
      <c r="D6" s="8" t="s">
        <v>66</v>
      </c>
      <c r="E6" s="93"/>
      <c r="F6" s="9">
        <f>'Transport c&amp;e fuel vehicles'!C8</f>
        <v>247.21931298911016</v>
      </c>
      <c r="G6" s="20" t="s">
        <v>108</v>
      </c>
    </row>
    <row r="7" spans="1:11" x14ac:dyDescent="0.3">
      <c r="B7" s="19" t="s">
        <v>110</v>
      </c>
      <c r="C7" s="8">
        <v>70</v>
      </c>
      <c r="D7" s="8" t="s">
        <v>111</v>
      </c>
      <c r="E7" s="93"/>
      <c r="F7" s="47" t="s">
        <v>134</v>
      </c>
      <c r="G7" s="90"/>
    </row>
    <row r="8" spans="1:11" ht="15" thickBot="1" x14ac:dyDescent="0.35">
      <c r="A8" s="83" t="s">
        <v>109</v>
      </c>
      <c r="B8" s="21" t="s">
        <v>131</v>
      </c>
      <c r="C8" s="25">
        <f>'Passenger transport data'!D17*10^3</f>
        <v>208</v>
      </c>
      <c r="D8" s="22" t="s">
        <v>108</v>
      </c>
      <c r="E8" s="22"/>
      <c r="F8" s="91"/>
      <c r="G8" s="92"/>
    </row>
    <row r="9" spans="1:11" x14ac:dyDescent="0.3">
      <c r="A9" s="56"/>
      <c r="B9" s="11" t="s">
        <v>113</v>
      </c>
      <c r="C9" s="84" t="s">
        <v>130</v>
      </c>
      <c r="D9" s="84"/>
      <c r="E9" s="84"/>
      <c r="F9" s="84" t="s">
        <v>129</v>
      </c>
      <c r="G9" s="84"/>
      <c r="H9" s="1" t="s">
        <v>128</v>
      </c>
      <c r="I9" s="1" t="s">
        <v>118</v>
      </c>
      <c r="J9" s="1" t="s">
        <v>119</v>
      </c>
      <c r="K9" s="1" t="s">
        <v>117</v>
      </c>
    </row>
    <row r="10" spans="1:11" x14ac:dyDescent="0.3">
      <c r="A10" s="81" t="s">
        <v>88</v>
      </c>
      <c r="B10" s="81"/>
      <c r="C10" s="81"/>
      <c r="D10" s="81"/>
      <c r="E10" s="81"/>
      <c r="F10" s="81"/>
      <c r="G10" s="81"/>
      <c r="H10" s="81"/>
      <c r="I10" s="81"/>
      <c r="J10" s="81"/>
      <c r="K10" s="81"/>
    </row>
    <row r="11" spans="1:11" x14ac:dyDescent="0.3">
      <c r="A11" s="1">
        <v>1</v>
      </c>
      <c r="B11" s="1">
        <v>0</v>
      </c>
      <c r="C11" s="82">
        <f>C$4*B11/100</f>
        <v>0</v>
      </c>
      <c r="D11" s="82"/>
      <c r="E11" s="82"/>
      <c r="F11" s="98">
        <f>'Passenger transport data'!D12</f>
        <v>0.36150428833257126</v>
      </c>
      <c r="G11" s="98"/>
      <c r="H11" s="27">
        <f>F11/A11</f>
        <v>0.36150428833257126</v>
      </c>
      <c r="I11" s="1">
        <v>0</v>
      </c>
      <c r="J11" s="1">
        <f>C$8*F11</f>
        <v>75.192891973174824</v>
      </c>
      <c r="K11" s="27">
        <f>J11/A11</f>
        <v>75.192891973174824</v>
      </c>
    </row>
    <row r="12" spans="1:11" x14ac:dyDescent="0.3">
      <c r="A12" s="1">
        <v>2</v>
      </c>
      <c r="B12" s="1">
        <f>B11+C$7</f>
        <v>70</v>
      </c>
      <c r="C12" s="82">
        <f t="shared" ref="C12:C15" si="0">C$4*B12/100</f>
        <v>5.9500000000000004E-3</v>
      </c>
      <c r="D12" s="82"/>
      <c r="E12" s="82"/>
      <c r="F12" s="82">
        <f>F$11+C12</f>
        <v>0.36745428833257127</v>
      </c>
      <c r="G12" s="82"/>
      <c r="H12" s="27">
        <f t="shared" ref="H12:H15" si="1">F12/A12</f>
        <v>0.18372714416628563</v>
      </c>
      <c r="I12" s="1">
        <f>C$6*B12</f>
        <v>1.9599999999999997</v>
      </c>
      <c r="J12" s="1">
        <f>F12*(I12+J$11)</f>
        <v>28.350161012802701</v>
      </c>
      <c r="K12" s="27">
        <f t="shared" ref="K12:K15" si="2">J12/A12</f>
        <v>14.175080506401351</v>
      </c>
    </row>
    <row r="13" spans="1:11" x14ac:dyDescent="0.3">
      <c r="A13" s="1">
        <v>3</v>
      </c>
      <c r="B13" s="1">
        <f t="shared" ref="B13:B15" si="3">B12+C$7</f>
        <v>140</v>
      </c>
      <c r="C13" s="82">
        <f t="shared" si="0"/>
        <v>1.1900000000000001E-2</v>
      </c>
      <c r="D13" s="82"/>
      <c r="E13" s="82"/>
      <c r="F13" s="82">
        <f t="shared" ref="F13:F15" si="4">F$11+C13</f>
        <v>0.37340428833257128</v>
      </c>
      <c r="G13" s="82"/>
      <c r="H13" s="27">
        <f t="shared" si="1"/>
        <v>0.12446809611085709</v>
      </c>
      <c r="I13" s="1">
        <f t="shared" ref="I13:I15" si="5">C$6*B13</f>
        <v>3.9199999999999995</v>
      </c>
      <c r="J13" s="1">
        <f t="shared" ref="J13:J15" si="6">F13*(I13+J$11)</f>
        <v>29.541093125174935</v>
      </c>
      <c r="K13" s="27">
        <f t="shared" si="2"/>
        <v>9.8470310417249785</v>
      </c>
    </row>
    <row r="14" spans="1:11" x14ac:dyDescent="0.3">
      <c r="A14" s="1">
        <v>4</v>
      </c>
      <c r="B14" s="1">
        <f t="shared" si="3"/>
        <v>210</v>
      </c>
      <c r="C14" s="82">
        <f t="shared" si="0"/>
        <v>1.7850000000000001E-2</v>
      </c>
      <c r="D14" s="82"/>
      <c r="E14" s="82"/>
      <c r="F14" s="82">
        <f t="shared" si="4"/>
        <v>0.37935428833257123</v>
      </c>
      <c r="G14" s="82"/>
      <c r="H14" s="27">
        <f t="shared" si="1"/>
        <v>9.4838572083142808E-2</v>
      </c>
      <c r="I14" s="1">
        <f t="shared" si="5"/>
        <v>5.879999999999999</v>
      </c>
      <c r="J14" s="1">
        <f t="shared" si="6"/>
        <v>30.755349237547161</v>
      </c>
      <c r="K14" s="27">
        <f t="shared" si="2"/>
        <v>7.6888373093867903</v>
      </c>
    </row>
    <row r="15" spans="1:11" x14ac:dyDescent="0.3">
      <c r="A15" s="1">
        <v>5</v>
      </c>
      <c r="B15" s="1">
        <f t="shared" si="3"/>
        <v>280</v>
      </c>
      <c r="C15" s="82">
        <f t="shared" si="0"/>
        <v>2.3800000000000002E-2</v>
      </c>
      <c r="D15" s="82"/>
      <c r="E15" s="82"/>
      <c r="F15" s="82">
        <f t="shared" si="4"/>
        <v>0.38530428833257124</v>
      </c>
      <c r="G15" s="82"/>
      <c r="H15" s="27">
        <f t="shared" si="1"/>
        <v>7.7060857666514243E-2</v>
      </c>
      <c r="I15" s="1">
        <f t="shared" si="5"/>
        <v>7.839999999999999</v>
      </c>
      <c r="J15" s="1">
        <f t="shared" si="6"/>
        <v>31.992929349919393</v>
      </c>
      <c r="K15" s="27">
        <f t="shared" si="2"/>
        <v>6.3985858699838785</v>
      </c>
    </row>
    <row r="16" spans="1:11" x14ac:dyDescent="0.3">
      <c r="A16" s="99" t="s">
        <v>89</v>
      </c>
      <c r="B16" s="100"/>
      <c r="C16" s="100"/>
      <c r="D16" s="100"/>
      <c r="E16" s="100"/>
      <c r="F16" s="100"/>
      <c r="G16" s="100"/>
      <c r="H16" s="100"/>
      <c r="I16" s="100"/>
      <c r="J16" s="100"/>
      <c r="K16" s="101"/>
    </row>
    <row r="17" spans="1:11" x14ac:dyDescent="0.3">
      <c r="A17" s="1">
        <v>1</v>
      </c>
      <c r="B17" s="1">
        <v>0</v>
      </c>
      <c r="C17" s="76">
        <f>B17*(0.5*C$4+0.5*'Transport c&amp;e fuel vehicles'!C$5)/100</f>
        <v>0</v>
      </c>
      <c r="D17" s="77"/>
      <c r="E17" s="78"/>
      <c r="F17" s="94">
        <f>'Passenger transport data'!D11</f>
        <v>0.63522010721107203</v>
      </c>
      <c r="G17" s="95"/>
      <c r="H17" s="27">
        <f>F17/A17</f>
        <v>0.63522010721107203</v>
      </c>
      <c r="I17" s="1">
        <v>0</v>
      </c>
      <c r="J17" s="1">
        <f>F17*(0.5*C$8+0.5*F$6)</f>
        <v>144.58223040074657</v>
      </c>
      <c r="K17" s="27">
        <f>J17/A17</f>
        <v>144.58223040074657</v>
      </c>
    </row>
    <row r="18" spans="1:11" x14ac:dyDescent="0.3">
      <c r="A18" s="1">
        <v>2</v>
      </c>
      <c r="B18" s="1">
        <f>C$7+B17</f>
        <v>70</v>
      </c>
      <c r="C18" s="76">
        <f>B18*(0.5*C$4+0.5*'Transport c&amp;e fuel vehicles'!C$5)/100</f>
        <v>1.6975000000000001E-2</v>
      </c>
      <c r="D18" s="77"/>
      <c r="E18" s="78"/>
      <c r="F18" s="76">
        <f>F$17+C18</f>
        <v>0.65219510721107199</v>
      </c>
      <c r="G18" s="78"/>
      <c r="H18" s="27">
        <f t="shared" ref="H18:H21" si="7">F18/A18</f>
        <v>0.32609755360553599</v>
      </c>
      <c r="I18" s="1">
        <f>B18*(0.5*C$6+0.5*'Transport c&amp;e fuel vehicles'!C$6)/100</f>
        <v>4.4800000000000006E-2</v>
      </c>
      <c r="J18" s="1">
        <f>F18*(I18+J$17)</f>
        <v>94.325041597833888</v>
      </c>
      <c r="K18" s="27">
        <f t="shared" ref="K18:K21" si="8">J18/A18</f>
        <v>47.162520798916944</v>
      </c>
    </row>
    <row r="19" spans="1:11" x14ac:dyDescent="0.3">
      <c r="A19" s="1">
        <v>3</v>
      </c>
      <c r="B19" s="1">
        <f t="shared" ref="B19:B21" si="9">C$7+B18</f>
        <v>140</v>
      </c>
      <c r="C19" s="76">
        <f>B19*(0.5*C$4+0.5*'Transport c&amp;e fuel vehicles'!C$5)/100</f>
        <v>3.3950000000000001E-2</v>
      </c>
      <c r="D19" s="77"/>
      <c r="E19" s="78"/>
      <c r="F19" s="76">
        <f t="shared" ref="F19:F21" si="10">F$17+C19</f>
        <v>0.66917010721107206</v>
      </c>
      <c r="G19" s="78"/>
      <c r="H19" s="27">
        <f t="shared" si="7"/>
        <v>0.22305670240369069</v>
      </c>
      <c r="I19" s="1">
        <f>B19*(0.5*C$6+0.5*'Transport c&amp;e fuel vehicles'!C$6)/100</f>
        <v>8.9600000000000013E-2</v>
      </c>
      <c r="J19" s="1">
        <f t="shared" ref="J19:J21" si="11">F19*(I19+J$17)</f>
        <v>96.810064259689611</v>
      </c>
      <c r="K19" s="27">
        <f t="shared" si="8"/>
        <v>32.270021419896537</v>
      </c>
    </row>
    <row r="20" spans="1:11" x14ac:dyDescent="0.3">
      <c r="A20" s="1">
        <v>4</v>
      </c>
      <c r="B20" s="1">
        <f t="shared" si="9"/>
        <v>210</v>
      </c>
      <c r="C20" s="76">
        <f>B20*(0.5*C$4+0.5*'Transport c&amp;e fuel vehicles'!C$5)/100</f>
        <v>5.0925000000000005E-2</v>
      </c>
      <c r="D20" s="77"/>
      <c r="E20" s="78"/>
      <c r="F20" s="76">
        <f t="shared" si="10"/>
        <v>0.68614510721107203</v>
      </c>
      <c r="G20" s="78"/>
      <c r="H20" s="27">
        <f t="shared" si="7"/>
        <v>0.17153627680276801</v>
      </c>
      <c r="I20" s="1">
        <f>B20*(0.5*C$6+0.5*'Transport c&amp;e fuel vehicles'!C$6)/100</f>
        <v>0.13439999999999999</v>
      </c>
      <c r="J20" s="1">
        <f t="shared" si="11"/>
        <v>99.296607881545341</v>
      </c>
      <c r="K20" s="27">
        <f t="shared" si="8"/>
        <v>24.824151970386335</v>
      </c>
    </row>
    <row r="21" spans="1:11" x14ac:dyDescent="0.3">
      <c r="A21" s="1">
        <v>5</v>
      </c>
      <c r="B21" s="1">
        <f t="shared" si="9"/>
        <v>280</v>
      </c>
      <c r="C21" s="76">
        <f>B21*(0.5*C$4+0.5*'Transport c&amp;e fuel vehicles'!C$5)/100</f>
        <v>6.7900000000000002E-2</v>
      </c>
      <c r="D21" s="77"/>
      <c r="E21" s="78"/>
      <c r="F21" s="76">
        <f t="shared" si="10"/>
        <v>0.70312010721107199</v>
      </c>
      <c r="G21" s="78"/>
      <c r="H21" s="27">
        <f t="shared" si="7"/>
        <v>0.14062402144221439</v>
      </c>
      <c r="I21" s="1">
        <f>B21*(0.5*C$6+0.5*'Transport c&amp;e fuel vehicles'!C$6)/100</f>
        <v>0.17920000000000003</v>
      </c>
      <c r="J21" s="1">
        <f t="shared" si="11"/>
        <v>101.78467246340107</v>
      </c>
      <c r="K21" s="27">
        <f t="shared" si="8"/>
        <v>20.356934492680214</v>
      </c>
    </row>
    <row r="22" spans="1:11" x14ac:dyDescent="0.3">
      <c r="A22" s="81" t="s">
        <v>124</v>
      </c>
      <c r="B22" s="81"/>
      <c r="C22" s="81"/>
      <c r="D22" s="81"/>
      <c r="E22" s="81"/>
      <c r="F22" s="81"/>
      <c r="G22" s="81"/>
      <c r="H22" s="81"/>
      <c r="I22" s="81"/>
      <c r="J22" s="81"/>
      <c r="K22" s="81"/>
    </row>
    <row r="23" spans="1:11" x14ac:dyDescent="0.3">
      <c r="A23" s="1">
        <v>1</v>
      </c>
      <c r="B23" s="1">
        <v>0</v>
      </c>
      <c r="C23" s="82">
        <f>C$5*B23/100</f>
        <v>0</v>
      </c>
      <c r="D23" s="82"/>
      <c r="E23" s="82"/>
      <c r="F23" s="98">
        <f>'electric veh relation'!F8</f>
        <v>0.1462831306275986</v>
      </c>
      <c r="G23" s="98"/>
      <c r="H23" s="27">
        <f>F23/A23</f>
        <v>0.1462831306275986</v>
      </c>
      <c r="I23" s="1">
        <v>0</v>
      </c>
      <c r="J23" s="1">
        <f>C$8*F23</f>
        <v>30.426891170540507</v>
      </c>
      <c r="K23" s="27">
        <f>J23/A23</f>
        <v>30.426891170540507</v>
      </c>
    </row>
    <row r="24" spans="1:11" x14ac:dyDescent="0.3">
      <c r="A24" s="1">
        <v>2</v>
      </c>
      <c r="B24" s="1">
        <f>C7+B23</f>
        <v>70</v>
      </c>
      <c r="C24" s="82">
        <f>C$5*B24/100</f>
        <v>0</v>
      </c>
      <c r="D24" s="82"/>
      <c r="E24" s="82"/>
      <c r="F24" s="82">
        <f>F23+C24</f>
        <v>0.1462831306275986</v>
      </c>
      <c r="G24" s="82"/>
      <c r="H24" s="27">
        <f>F24/A24</f>
        <v>7.3141565313799298E-2</v>
      </c>
      <c r="I24" s="1">
        <f>C6*B24</f>
        <v>1.9599999999999997</v>
      </c>
      <c r="J24" s="1">
        <f>F24*(I24+J23)</f>
        <v>4.7376558317219963</v>
      </c>
      <c r="K24" s="27">
        <f>J24/A24</f>
        <v>2.3688279158609982</v>
      </c>
    </row>
    <row r="25" spans="1:11" x14ac:dyDescent="0.3">
      <c r="A25" s="99" t="s">
        <v>125</v>
      </c>
      <c r="B25" s="100"/>
      <c r="C25" s="100"/>
      <c r="D25" s="100"/>
      <c r="E25" s="100"/>
      <c r="F25" s="100"/>
      <c r="G25" s="100"/>
      <c r="H25" s="100"/>
      <c r="I25" s="100"/>
      <c r="J25" s="100"/>
      <c r="K25" s="101"/>
    </row>
    <row r="26" spans="1:11" x14ac:dyDescent="0.3">
      <c r="A26" s="1">
        <v>1</v>
      </c>
      <c r="B26" s="1">
        <v>0</v>
      </c>
      <c r="C26" s="76">
        <f>C$4*B26/100</f>
        <v>0</v>
      </c>
      <c r="D26" s="77"/>
      <c r="E26" s="78"/>
      <c r="F26" s="94">
        <f>'electric veh relation'!F9</f>
        <v>1.3136056988828897E-2</v>
      </c>
      <c r="G26" s="95"/>
      <c r="H26" s="27">
        <f>F26/A26</f>
        <v>1.3136056988828897E-2</v>
      </c>
      <c r="I26" s="1">
        <v>0</v>
      </c>
      <c r="J26" s="1">
        <f>C$8*F26</f>
        <v>2.7322998536764107</v>
      </c>
      <c r="K26" s="27">
        <f>J26/A26</f>
        <v>2.7322998536764107</v>
      </c>
    </row>
    <row r="27" spans="1:11" x14ac:dyDescent="0.3">
      <c r="A27" s="99" t="s">
        <v>126</v>
      </c>
      <c r="B27" s="100"/>
      <c r="C27" s="100"/>
      <c r="D27" s="100"/>
      <c r="E27" s="100"/>
      <c r="F27" s="100"/>
      <c r="G27" s="100"/>
      <c r="H27" s="100"/>
      <c r="I27" s="100"/>
      <c r="J27" s="100"/>
      <c r="K27" s="101"/>
    </row>
    <row r="28" spans="1:11" x14ac:dyDescent="0.3">
      <c r="A28" s="1">
        <v>1</v>
      </c>
      <c r="B28" s="1">
        <v>0</v>
      </c>
      <c r="C28" s="76">
        <f>C$4*B28/100</f>
        <v>0</v>
      </c>
      <c r="D28" s="77"/>
      <c r="E28" s="78"/>
      <c r="F28" s="94">
        <f>'electric veh relation'!F10</f>
        <v>2.847897155178105E-2</v>
      </c>
      <c r="G28" s="95"/>
      <c r="H28" s="27">
        <f>F28/A28</f>
        <v>2.847897155178105E-2</v>
      </c>
      <c r="I28" s="1">
        <v>0</v>
      </c>
      <c r="J28" s="1">
        <f>C$8*F28</f>
        <v>5.9236260827704585</v>
      </c>
      <c r="K28" s="27">
        <f>J28/A28</f>
        <v>5.9236260827704585</v>
      </c>
    </row>
    <row r="29" spans="1:11" x14ac:dyDescent="0.3">
      <c r="A29" s="99" t="s">
        <v>127</v>
      </c>
      <c r="B29" s="100"/>
      <c r="C29" s="100"/>
      <c r="D29" s="100"/>
      <c r="E29" s="100"/>
      <c r="F29" s="100"/>
      <c r="G29" s="100"/>
      <c r="H29" s="100"/>
      <c r="I29" s="100"/>
      <c r="J29" s="100"/>
      <c r="K29" s="101"/>
    </row>
    <row r="30" spans="1:11" x14ac:dyDescent="0.3">
      <c r="A30" s="1">
        <v>1</v>
      </c>
      <c r="B30" s="1">
        <v>0</v>
      </c>
      <c r="C30" s="76">
        <f>C$4*B30/100</f>
        <v>0</v>
      </c>
      <c r="D30" s="77"/>
      <c r="E30" s="78"/>
      <c r="F30" s="94">
        <f>'Passenger transport data'!D24</f>
        <v>4.489889873527142</v>
      </c>
      <c r="G30" s="95"/>
      <c r="H30" s="2">
        <f>F30/A30</f>
        <v>4.489889873527142</v>
      </c>
      <c r="I30" s="1">
        <v>0</v>
      </c>
      <c r="J30" s="1">
        <f>C$8*F30</f>
        <v>933.8970936936455</v>
      </c>
      <c r="K30" s="27">
        <f>J30/A30</f>
        <v>933.8970936936455</v>
      </c>
    </row>
    <row r="31" spans="1:11" x14ac:dyDescent="0.3">
      <c r="A31" s="18">
        <f>'Passenger transport data'!H6</f>
        <v>23.520650459599345</v>
      </c>
      <c r="B31" s="1">
        <f>C$7*A31</f>
        <v>1646.4455321719543</v>
      </c>
      <c r="C31" s="76">
        <f t="shared" ref="C31:C33" si="12">C$4*B31/100</f>
        <v>0.13994787023461611</v>
      </c>
      <c r="D31" s="77"/>
      <c r="E31" s="78"/>
      <c r="F31" s="76">
        <f>F$30+C31</f>
        <v>4.6298377437617582</v>
      </c>
      <c r="G31" s="78"/>
      <c r="H31" s="27">
        <f t="shared" ref="H31:H33" si="13">F31/A31</f>
        <v>0.19684139908095993</v>
      </c>
      <c r="I31" s="1">
        <f>C$6*B31</f>
        <v>46.100474900814717</v>
      </c>
      <c r="J31" s="1">
        <f>F31*(I31+J$30)</f>
        <v>4537.2297318733845</v>
      </c>
      <c r="K31" s="27">
        <f t="shared" ref="K31:K33" si="14">J31/A31</f>
        <v>192.90409249807254</v>
      </c>
    </row>
    <row r="32" spans="1:11" x14ac:dyDescent="0.3">
      <c r="A32" s="18">
        <f>'Passenger transport data'!I6</f>
        <v>73.964309621381588</v>
      </c>
      <c r="B32" s="1">
        <f>C$7*A32</f>
        <v>5177.5016734967112</v>
      </c>
      <c r="C32" s="76">
        <f t="shared" si="12"/>
        <v>0.44008764224722052</v>
      </c>
      <c r="D32" s="77"/>
      <c r="E32" s="78"/>
      <c r="F32" s="76">
        <f t="shared" ref="F32:F33" si="15">F$30+C32</f>
        <v>4.9299775157743628</v>
      </c>
      <c r="G32" s="78"/>
      <c r="H32" s="27">
        <f t="shared" si="13"/>
        <v>6.6653464907745263E-2</v>
      </c>
      <c r="I32" s="1">
        <f t="shared" ref="I32:I33" si="16">C$6*B32</f>
        <v>144.9700468579079</v>
      </c>
      <c r="J32" s="1">
        <f t="shared" ref="J32:J33" si="17">F32*(I32+J$30)</f>
        <v>5318.7907454269371</v>
      </c>
      <c r="K32" s="27">
        <f t="shared" si="14"/>
        <v>71.910233092872431</v>
      </c>
    </row>
    <row r="33" spans="1:11" x14ac:dyDescent="0.3">
      <c r="A33" s="18">
        <f>'Passenger transport data'!J6</f>
        <v>124.40796878316381</v>
      </c>
      <c r="B33" s="1">
        <f>C$7*A33</f>
        <v>8708.5578148214663</v>
      </c>
      <c r="C33" s="76">
        <f t="shared" si="12"/>
        <v>0.74022741425982475</v>
      </c>
      <c r="D33" s="77"/>
      <c r="E33" s="78"/>
      <c r="F33" s="76">
        <f t="shared" si="15"/>
        <v>5.2301172877869666</v>
      </c>
      <c r="G33" s="78"/>
      <c r="H33" s="27">
        <f t="shared" si="13"/>
        <v>4.2040050480229053E-2</v>
      </c>
      <c r="I33" s="1">
        <f t="shared" si="16"/>
        <v>243.83961881500102</v>
      </c>
      <c r="J33" s="1">
        <f t="shared" si="17"/>
        <v>6159.701140552861</v>
      </c>
      <c r="K33" s="27">
        <f t="shared" si="14"/>
        <v>49.512110846282511</v>
      </c>
    </row>
    <row r="34" spans="1:11" x14ac:dyDescent="0.3">
      <c r="A34" s="99" t="s">
        <v>102</v>
      </c>
      <c r="B34" s="100"/>
      <c r="C34" s="100"/>
      <c r="D34" s="100"/>
      <c r="E34" s="100"/>
      <c r="F34" s="100"/>
      <c r="G34" s="100"/>
      <c r="H34" s="100"/>
      <c r="I34" s="100"/>
      <c r="J34" s="100"/>
      <c r="K34" s="101"/>
    </row>
    <row r="35" spans="1:11" x14ac:dyDescent="0.3">
      <c r="A35" s="1">
        <v>1</v>
      </c>
      <c r="B35" s="1">
        <v>0</v>
      </c>
      <c r="C35" s="76">
        <f>C$4*B35/100</f>
        <v>0</v>
      </c>
      <c r="D35" s="77"/>
      <c r="E35" s="78"/>
      <c r="F35" s="94">
        <f>'Passenger transport data'!D26</f>
        <v>16.299817798235662</v>
      </c>
      <c r="G35" s="95"/>
      <c r="H35" s="2">
        <f>F35/A35</f>
        <v>16.299817798235662</v>
      </c>
      <c r="I35" s="1">
        <v>0</v>
      </c>
      <c r="J35" s="34">
        <f>C$8*F35</f>
        <v>3390.3621020330174</v>
      </c>
      <c r="K35" s="27">
        <f>J35/A35</f>
        <v>3390.3621020330174</v>
      </c>
    </row>
    <row r="36" spans="1:11" x14ac:dyDescent="0.3">
      <c r="A36" s="18">
        <f>'Passenger transport data'!H7</f>
        <v>26.728011885908341</v>
      </c>
      <c r="B36" s="1">
        <f>C$7*A36</f>
        <v>1870.960832013584</v>
      </c>
      <c r="C36" s="76">
        <f t="shared" ref="C36:C38" si="18">C$4*B36/100</f>
        <v>0.15903167072115465</v>
      </c>
      <c r="D36" s="77"/>
      <c r="E36" s="78"/>
      <c r="F36" s="76">
        <f>F$35+C36</f>
        <v>16.458849468956817</v>
      </c>
      <c r="G36" s="78"/>
      <c r="H36" s="27">
        <f t="shared" ref="H36:H38" si="19">F36/A36</f>
        <v>0.61579026300995932</v>
      </c>
      <c r="I36" s="1">
        <f>C$6*B36</f>
        <v>52.386903296380346</v>
      </c>
      <c r="J36" s="34">
        <f>F36*(I36+J$35)</f>
        <v>56663.687638117372</v>
      </c>
      <c r="K36" s="27">
        <f t="shared" ref="K36:K38" si="20">J36/A36</f>
        <v>2120.0113154690657</v>
      </c>
    </row>
    <row r="37" spans="1:11" x14ac:dyDescent="0.3">
      <c r="A37" s="18">
        <f>'Passenger transport data'!I7</f>
        <v>84.05035184247906</v>
      </c>
      <c r="B37" s="1">
        <f t="shared" ref="B37:B38" si="21">C$7*A37</f>
        <v>5883.5246289735342</v>
      </c>
      <c r="C37" s="76">
        <f t="shared" si="18"/>
        <v>0.50009959346275046</v>
      </c>
      <c r="D37" s="77"/>
      <c r="E37" s="78"/>
      <c r="F37" s="76">
        <f t="shared" ref="F37:F38" si="22">F$35+C37</f>
        <v>16.799917391698411</v>
      </c>
      <c r="G37" s="78"/>
      <c r="H37" s="27">
        <f t="shared" si="19"/>
        <v>0.19987920363716705</v>
      </c>
      <c r="I37" s="1">
        <f t="shared" ref="I37:I38" si="23">C$6*B37</f>
        <v>164.73868961125893</v>
      </c>
      <c r="J37" s="34">
        <f t="shared" ref="J37:J38" si="24">F37*(I37+J$35)</f>
        <v>59725.399618785465</v>
      </c>
      <c r="K37" s="27">
        <f t="shared" si="20"/>
        <v>710.59071508372006</v>
      </c>
    </row>
    <row r="38" spans="1:11" x14ac:dyDescent="0.3">
      <c r="A38" s="18">
        <f>'Passenger transport data'!J7</f>
        <v>141.37269179904976</v>
      </c>
      <c r="B38" s="1">
        <f t="shared" si="21"/>
        <v>9896.0884259334834</v>
      </c>
      <c r="C38" s="76">
        <f t="shared" si="18"/>
        <v>0.84116751620434616</v>
      </c>
      <c r="D38" s="77"/>
      <c r="E38" s="78"/>
      <c r="F38" s="76">
        <f t="shared" si="22"/>
        <v>17.140985314440009</v>
      </c>
      <c r="G38" s="78"/>
      <c r="H38" s="27">
        <f t="shared" si="19"/>
        <v>0.12124679169867247</v>
      </c>
      <c r="I38" s="1">
        <f t="shared" si="23"/>
        <v>277.09047592613751</v>
      </c>
      <c r="J38" s="34">
        <f t="shared" si="24"/>
        <v>62863.750780203023</v>
      </c>
      <c r="K38" s="27">
        <f t="shared" si="20"/>
        <v>444.66685878457304</v>
      </c>
    </row>
    <row r="39" spans="1:11" x14ac:dyDescent="0.3">
      <c r="A39" s="81" t="s">
        <v>103</v>
      </c>
      <c r="B39" s="81"/>
      <c r="C39" s="81"/>
      <c r="D39" s="81"/>
      <c r="E39" s="81"/>
      <c r="F39" s="81"/>
      <c r="G39" s="81"/>
      <c r="H39" s="81"/>
      <c r="I39" s="81"/>
      <c r="J39" s="81"/>
      <c r="K39" s="81"/>
    </row>
    <row r="40" spans="1:11" x14ac:dyDescent="0.3">
      <c r="A40" s="1">
        <v>1</v>
      </c>
      <c r="B40" s="1">
        <v>0</v>
      </c>
      <c r="C40" s="76">
        <f>B40*C$4/100</f>
        <v>0</v>
      </c>
      <c r="D40" s="77"/>
      <c r="E40" s="78"/>
      <c r="F40" s="94">
        <f>'Passenger transport data'!D27</f>
        <v>0</v>
      </c>
      <c r="G40" s="95"/>
      <c r="H40" s="1">
        <f>F40/A40</f>
        <v>0</v>
      </c>
      <c r="I40" s="1">
        <v>0</v>
      </c>
      <c r="J40" s="1">
        <f>C$8*F40</f>
        <v>0</v>
      </c>
      <c r="K40" s="1">
        <f>J40/A40</f>
        <v>0</v>
      </c>
    </row>
    <row r="41" spans="1:11" x14ac:dyDescent="0.3">
      <c r="A41" s="18">
        <f>'Passenger transport data'!H8</f>
        <v>0</v>
      </c>
      <c r="B41" s="1">
        <f>C$7*A41</f>
        <v>0</v>
      </c>
      <c r="C41" s="76">
        <f t="shared" ref="C41:C43" si="25">B41*C$4/100</f>
        <v>0</v>
      </c>
      <c r="D41" s="77"/>
      <c r="E41" s="78"/>
      <c r="F41" s="76">
        <f>F$40+C41</f>
        <v>0</v>
      </c>
      <c r="G41" s="78"/>
      <c r="H41" s="27" t="e">
        <f t="shared" ref="H41:H43" si="26">F41/A41</f>
        <v>#DIV/0!</v>
      </c>
      <c r="I41" s="1">
        <f>C$6*B41</f>
        <v>0</v>
      </c>
      <c r="J41" s="1">
        <f>F41*(I41+J$40)</f>
        <v>0</v>
      </c>
      <c r="K41" s="27" t="e">
        <f t="shared" ref="K41:K43" si="27">J41/A41</f>
        <v>#DIV/0!</v>
      </c>
    </row>
    <row r="42" spans="1:11" x14ac:dyDescent="0.3">
      <c r="A42" s="18">
        <f>'Passenger transport data'!I8</f>
        <v>0</v>
      </c>
      <c r="B42" s="1">
        <f t="shared" ref="B42:B43" si="28">C$7*A42</f>
        <v>0</v>
      </c>
      <c r="C42" s="76">
        <f t="shared" si="25"/>
        <v>0</v>
      </c>
      <c r="D42" s="77"/>
      <c r="E42" s="78"/>
      <c r="F42" s="76">
        <f>F$40+C42</f>
        <v>0</v>
      </c>
      <c r="G42" s="78"/>
      <c r="H42" s="27" t="e">
        <f t="shared" si="26"/>
        <v>#DIV/0!</v>
      </c>
      <c r="I42" s="1">
        <f t="shared" ref="I42:I43" si="29">C$6*B42</f>
        <v>0</v>
      </c>
      <c r="J42" s="1">
        <f t="shared" ref="J42:J43" si="30">F42*(I42+J$40)</f>
        <v>0</v>
      </c>
      <c r="K42" s="27" t="e">
        <f t="shared" si="27"/>
        <v>#DIV/0!</v>
      </c>
    </row>
    <row r="43" spans="1:11" x14ac:dyDescent="0.3">
      <c r="A43" s="18">
        <f>'Passenger transport data'!J8</f>
        <v>0</v>
      </c>
      <c r="B43" s="1">
        <f t="shared" si="28"/>
        <v>0</v>
      </c>
      <c r="C43" s="76">
        <f t="shared" si="25"/>
        <v>0</v>
      </c>
      <c r="D43" s="77"/>
      <c r="E43" s="78"/>
      <c r="F43" s="76">
        <f t="shared" ref="F43" si="31">F$40+C43</f>
        <v>0</v>
      </c>
      <c r="G43" s="78"/>
      <c r="H43" s="27" t="e">
        <f t="shared" si="26"/>
        <v>#DIV/0!</v>
      </c>
      <c r="I43" s="1">
        <f t="shared" si="29"/>
        <v>0</v>
      </c>
      <c r="J43" s="1">
        <f t="shared" si="30"/>
        <v>0</v>
      </c>
      <c r="K43" s="27" t="e">
        <f t="shared" si="27"/>
        <v>#DIV/0!</v>
      </c>
    </row>
  </sheetData>
  <mergeCells count="67">
    <mergeCell ref="A25:K25"/>
    <mergeCell ref="A27:K27"/>
    <mergeCell ref="A29:K29"/>
    <mergeCell ref="A34:K34"/>
    <mergeCell ref="C26:E26"/>
    <mergeCell ref="C28:E28"/>
    <mergeCell ref="C33:E33"/>
    <mergeCell ref="F26:G26"/>
    <mergeCell ref="F28:G28"/>
    <mergeCell ref="F30:G30"/>
    <mergeCell ref="C19:E19"/>
    <mergeCell ref="C20:E20"/>
    <mergeCell ref="C21:E21"/>
    <mergeCell ref="C24:E24"/>
    <mergeCell ref="C23:E23"/>
    <mergeCell ref="C38:E38"/>
    <mergeCell ref="C42:E42"/>
    <mergeCell ref="F42:G42"/>
    <mergeCell ref="F35:G35"/>
    <mergeCell ref="F36:G36"/>
    <mergeCell ref="F37:G37"/>
    <mergeCell ref="F38:G38"/>
    <mergeCell ref="C37:E37"/>
    <mergeCell ref="C36:E36"/>
    <mergeCell ref="C35:E35"/>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B2:G2"/>
    <mergeCell ref="B4:B6"/>
    <mergeCell ref="E4:E7"/>
    <mergeCell ref="A10:K10"/>
    <mergeCell ref="C11:E11"/>
    <mergeCell ref="F11:G11"/>
    <mergeCell ref="A8:A9"/>
    <mergeCell ref="C9:E9"/>
    <mergeCell ref="F9:G9"/>
    <mergeCell ref="F7:G8"/>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4"/>
      <c r="F6" s="1" t="s">
        <v>41</v>
      </c>
    </row>
    <row r="7" spans="1:6" x14ac:dyDescent="0.3">
      <c r="B7" s="1" t="s">
        <v>97</v>
      </c>
      <c r="C7" s="1">
        <v>17.2</v>
      </c>
      <c r="D7" s="1">
        <f>C7/100</f>
        <v>0.17199999999999999</v>
      </c>
      <c r="E7" s="1" t="s">
        <v>98</v>
      </c>
      <c r="F7" s="26">
        <f>'Passenger transport data'!D12</f>
        <v>0.36150428833257126</v>
      </c>
    </row>
    <row r="8" spans="1:6" x14ac:dyDescent="0.3">
      <c r="B8" s="1" t="s">
        <v>99</v>
      </c>
      <c r="C8" s="1">
        <v>6.96</v>
      </c>
      <c r="D8" s="1">
        <f t="shared" ref="D8:D10" si="0">C8/100</f>
        <v>6.9599999999999995E-2</v>
      </c>
      <c r="E8" s="1">
        <f>D8/D$7</f>
        <v>0.40465116279069768</v>
      </c>
      <c r="F8" s="1">
        <f>F$7*E8</f>
        <v>0.1462831306275986</v>
      </c>
    </row>
    <row r="9" spans="1:6" x14ac:dyDescent="0.3">
      <c r="B9" s="1" t="s">
        <v>100</v>
      </c>
      <c r="C9" s="1">
        <v>0.625</v>
      </c>
      <c r="D9" s="1">
        <f t="shared" si="0"/>
        <v>6.2500000000000003E-3</v>
      </c>
      <c r="E9" s="1">
        <f>D9/D$7</f>
        <v>3.6337209302325583E-2</v>
      </c>
      <c r="F9" s="1">
        <f t="shared" ref="F9:F10" si="1">F$7*E9</f>
        <v>1.3136056988828897E-2</v>
      </c>
    </row>
    <row r="10" spans="1:6" x14ac:dyDescent="0.3">
      <c r="B10" s="1" t="s">
        <v>101</v>
      </c>
      <c r="C10" s="1">
        <v>1.355</v>
      </c>
      <c r="D10" s="1">
        <f t="shared" si="0"/>
        <v>1.355E-2</v>
      </c>
      <c r="E10" s="1">
        <f>D10/D$7</f>
        <v>7.8779069767441867E-2</v>
      </c>
      <c r="F10" s="1">
        <f t="shared" si="1"/>
        <v>2.847897155178105E-2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16526EA1-6DB0-48E3-A8EA-E2FB1D619F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2022-06-29T09:29:36Z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