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calculation for the rest of EU countries/"/>
    </mc:Choice>
  </mc:AlternateContent>
  <xr:revisionPtr revIDLastSave="1592" documentId="8_{4C372892-E9C3-428B-950B-C5A505A38EBC}" xr6:coauthVersionLast="47" xr6:coauthVersionMax="47" xr10:uidLastSave="{DF3326D3-2109-4895-8412-101112A92FF1}"/>
  <bookViews>
    <workbookView xWindow="2688" yWindow="2688" windowWidth="14712" windowHeight="8880" activeTab="3"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 r:id="rId12"/>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1" l="1"/>
  <c r="C15" i="11"/>
  <c r="B32" i="4" l="1"/>
  <c r="B33" i="4"/>
  <c r="B31" i="4"/>
  <c r="B26" i="4"/>
  <c r="B25" i="4"/>
  <c r="B24" i="4"/>
  <c r="B21" i="4"/>
  <c r="B20" i="4"/>
  <c r="B16" i="4"/>
  <c r="B13" i="4"/>
  <c r="B12" i="4"/>
  <c r="B11" i="4"/>
  <c r="B10" i="4"/>
  <c r="B8" i="4"/>
  <c r="B6" i="4"/>
  <c r="D10" i="1"/>
  <c r="B10" i="1"/>
  <c r="B4" i="1" l="1"/>
  <c r="B3" i="1"/>
  <c r="H6" i="12" l="1"/>
  <c r="H5" i="12" l="1"/>
  <c r="H4" i="12"/>
  <c r="K6" i="10" l="1"/>
  <c r="G5" i="10"/>
  <c r="F8" i="10"/>
  <c r="C11" i="11"/>
  <c r="E5" i="11" l="1"/>
  <c r="C8" i="10"/>
  <c r="I6" i="10"/>
  <c r="C5" i="10"/>
  <c r="C26" i="10" s="1"/>
  <c r="I4" i="10"/>
  <c r="F8" i="8"/>
  <c r="F25" i="8"/>
  <c r="C25" i="8"/>
  <c r="C11" i="10" l="1"/>
  <c r="C31" i="10"/>
  <c r="C16" i="10"/>
  <c r="C21" i="10"/>
  <c r="H25" i="8"/>
  <c r="J25" i="8"/>
  <c r="K25" i="8" s="1"/>
  <c r="D25" i="4"/>
  <c r="B10" i="12" s="1"/>
  <c r="C10" i="12" s="1"/>
  <c r="D15" i="4"/>
  <c r="D11" i="1"/>
  <c r="B11" i="1"/>
  <c r="D3" i="1" l="1"/>
  <c r="E6" i="3" s="1"/>
  <c r="C6" i="3" s="1"/>
  <c r="D4" i="1"/>
  <c r="E7" i="3" l="1"/>
  <c r="B7" i="3" l="1"/>
  <c r="C7" i="3"/>
  <c r="E2" i="3"/>
  <c r="E5" i="1"/>
  <c r="C10" i="1"/>
  <c r="B2" i="3" l="1"/>
  <c r="C2" i="3"/>
  <c r="B29" i="4"/>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A46" i="12" s="1"/>
  <c r="I7" i="4"/>
  <c r="I6" i="4"/>
  <c r="A50" i="12" s="1"/>
  <c r="I5" i="4"/>
  <c r="A38" i="12" l="1"/>
  <c r="A27" i="8"/>
  <c r="B27" i="8" s="1"/>
  <c r="A18" i="12"/>
  <c r="A23" i="10"/>
  <c r="B23" i="10" s="1"/>
  <c r="A33" i="10"/>
  <c r="B33" i="10" s="1"/>
  <c r="A18" i="10"/>
  <c r="B18" i="10" s="1"/>
  <c r="A28" i="10"/>
  <c r="B28" i="10" s="1"/>
  <c r="A13" i="10"/>
  <c r="B13" i="10" s="1"/>
  <c r="H8" i="4"/>
  <c r="A42" i="9"/>
  <c r="B42" i="9" s="1"/>
  <c r="I42" i="9" s="1"/>
  <c r="J8" i="4"/>
  <c r="H7" i="4"/>
  <c r="A37" i="9"/>
  <c r="B37" i="9" s="1"/>
  <c r="J7" i="4"/>
  <c r="J6" i="4"/>
  <c r="A32" i="9"/>
  <c r="B32" i="9" s="1"/>
  <c r="H5" i="4"/>
  <c r="A22" i="8"/>
  <c r="B22" i="8" s="1"/>
  <c r="I22" i="8" s="1"/>
  <c r="H6" i="4"/>
  <c r="J5" i="4"/>
  <c r="D33" i="4"/>
  <c r="D32" i="4"/>
  <c r="A43" i="9" l="1"/>
  <c r="B43" i="9" s="1"/>
  <c r="A47" i="12"/>
  <c r="A41" i="9"/>
  <c r="B41" i="9" s="1"/>
  <c r="I41" i="9" s="1"/>
  <c r="A45" i="12"/>
  <c r="A36" i="9"/>
  <c r="B36" i="9" s="1"/>
  <c r="A37" i="12"/>
  <c r="A26" i="8"/>
  <c r="B26" i="8" s="1"/>
  <c r="C27" i="8"/>
  <c r="F27" i="8" s="1"/>
  <c r="I27" i="8"/>
  <c r="A38" i="9"/>
  <c r="B38" i="9" s="1"/>
  <c r="A39" i="12"/>
  <c r="A28" i="8"/>
  <c r="B28" i="8" s="1"/>
  <c r="A42" i="12"/>
  <c r="A33" i="9"/>
  <c r="A51" i="12"/>
  <c r="A31" i="9"/>
  <c r="B31" i="9" s="1"/>
  <c r="I31" i="9" s="1"/>
  <c r="A49" i="12"/>
  <c r="I13" i="10"/>
  <c r="C13" i="10"/>
  <c r="C28" i="10"/>
  <c r="I28" i="10"/>
  <c r="C18" i="10"/>
  <c r="I18" i="10"/>
  <c r="I33" i="10"/>
  <c r="C33" i="10"/>
  <c r="A21" i="8"/>
  <c r="B21" i="8" s="1"/>
  <c r="I21" i="8" s="1"/>
  <c r="A17" i="12"/>
  <c r="A22" i="10"/>
  <c r="B22" i="10" s="1"/>
  <c r="A32" i="10"/>
  <c r="B32" i="10" s="1"/>
  <c r="A17" i="10"/>
  <c r="B17" i="10" s="1"/>
  <c r="A27" i="10"/>
  <c r="B27" i="10" s="1"/>
  <c r="A12" i="10"/>
  <c r="B12" i="10" s="1"/>
  <c r="I23" i="10"/>
  <c r="C23" i="10"/>
  <c r="A19" i="12"/>
  <c r="A34" i="10"/>
  <c r="B34" i="10" s="1"/>
  <c r="A14" i="10"/>
  <c r="B14" i="10" s="1"/>
  <c r="A19" i="10"/>
  <c r="B19" i="10" s="1"/>
  <c r="A29" i="10"/>
  <c r="B29" i="10" s="1"/>
  <c r="A24" i="10"/>
  <c r="B24" i="10" s="1"/>
  <c r="A26" i="12"/>
  <c r="A34" i="12"/>
  <c r="A30" i="12"/>
  <c r="A22" i="12"/>
  <c r="C43" i="9"/>
  <c r="I43" i="9"/>
  <c r="C42" i="9"/>
  <c r="C41" i="9"/>
  <c r="I38" i="9"/>
  <c r="C38" i="9"/>
  <c r="I37" i="9"/>
  <c r="C37" i="9"/>
  <c r="C36" i="9"/>
  <c r="I36" i="9"/>
  <c r="C32" i="9"/>
  <c r="I32" i="9"/>
  <c r="B33" i="9"/>
  <c r="A23" i="8"/>
  <c r="B23" i="8" s="1"/>
  <c r="I23" i="8" s="1"/>
  <c r="C22" i="8"/>
  <c r="C21" i="8"/>
  <c r="D29" i="4"/>
  <c r="D26" i="4"/>
  <c r="D27" i="4"/>
  <c r="D24" i="4"/>
  <c r="D17" i="4"/>
  <c r="D16" i="4"/>
  <c r="L6" i="10" s="1"/>
  <c r="D10" i="4"/>
  <c r="F11" i="8" s="1"/>
  <c r="D11" i="4"/>
  <c r="F17" i="9" s="1"/>
  <c r="D12" i="4"/>
  <c r="D13" i="4"/>
  <c r="D8" i="4"/>
  <c r="F17" i="8" s="1"/>
  <c r="C31" i="9" l="1"/>
  <c r="F40" i="9"/>
  <c r="H40" i="9" s="1"/>
  <c r="B11" i="12"/>
  <c r="B46" i="12" s="1"/>
  <c r="F35" i="9"/>
  <c r="H35" i="9" s="1"/>
  <c r="B9" i="12"/>
  <c r="B38" i="12" s="1"/>
  <c r="F30" i="9"/>
  <c r="H30" i="9" s="1"/>
  <c r="B12" i="12"/>
  <c r="B50" i="12" s="1"/>
  <c r="A43" i="12"/>
  <c r="I28" i="8"/>
  <c r="C28" i="8"/>
  <c r="F28" i="8" s="1"/>
  <c r="H27" i="8"/>
  <c r="J27" i="8"/>
  <c r="K27" i="8" s="1"/>
  <c r="I26" i="8"/>
  <c r="C26" i="8"/>
  <c r="F26" i="8" s="1"/>
  <c r="A41" i="12"/>
  <c r="C42" i="12"/>
  <c r="B42" i="12"/>
  <c r="F20" i="8"/>
  <c r="B4" i="12"/>
  <c r="B17" i="12" s="1"/>
  <c r="F11" i="10"/>
  <c r="H11" i="10" s="1"/>
  <c r="F31" i="10"/>
  <c r="H31" i="10" s="1"/>
  <c r="F26" i="10"/>
  <c r="F21" i="10"/>
  <c r="F23" i="10" s="1"/>
  <c r="F16" i="10"/>
  <c r="H16" i="10" s="1"/>
  <c r="C27" i="10"/>
  <c r="I27" i="10"/>
  <c r="C19" i="10"/>
  <c r="I19" i="10"/>
  <c r="C14" i="10"/>
  <c r="F14" i="10" s="1"/>
  <c r="H14" i="10" s="1"/>
  <c r="I14" i="10"/>
  <c r="I32" i="10"/>
  <c r="C32" i="10"/>
  <c r="C12" i="10"/>
  <c r="I12" i="10"/>
  <c r="C34" i="10"/>
  <c r="I34" i="10"/>
  <c r="I22" i="10"/>
  <c r="C22" i="10"/>
  <c r="A31" i="12"/>
  <c r="A35" i="12"/>
  <c r="A27" i="12"/>
  <c r="B19" i="12"/>
  <c r="A23" i="12"/>
  <c r="A25" i="12"/>
  <c r="A33" i="12"/>
  <c r="A29" i="12"/>
  <c r="A21" i="12"/>
  <c r="I24" i="10"/>
  <c r="C24" i="10"/>
  <c r="I29" i="10"/>
  <c r="C29" i="10"/>
  <c r="I17" i="10"/>
  <c r="C17" i="10"/>
  <c r="C8" i="9"/>
  <c r="H3" i="12"/>
  <c r="C10" i="11"/>
  <c r="C8" i="8"/>
  <c r="J11" i="8" s="1"/>
  <c r="K11" i="8" s="1"/>
  <c r="F41" i="9"/>
  <c r="H41" i="9" s="1"/>
  <c r="F42" i="9"/>
  <c r="H42" i="9" s="1"/>
  <c r="F38" i="9"/>
  <c r="H38" i="9" s="1"/>
  <c r="F37" i="9"/>
  <c r="H37" i="9" s="1"/>
  <c r="F36" i="9"/>
  <c r="H36" i="9" s="1"/>
  <c r="F32" i="9"/>
  <c r="H32" i="9" s="1"/>
  <c r="H20" i="8"/>
  <c r="F21" i="8"/>
  <c r="F22" i="8"/>
  <c r="F11" i="9"/>
  <c r="F7" i="7"/>
  <c r="H17" i="9"/>
  <c r="F19" i="9"/>
  <c r="F20" i="9"/>
  <c r="F21" i="9"/>
  <c r="F18" i="9"/>
  <c r="H11" i="8"/>
  <c r="F13" i="8"/>
  <c r="F12" i="8"/>
  <c r="F14" i="8"/>
  <c r="F15" i="8"/>
  <c r="H17" i="8"/>
  <c r="F18" i="8"/>
  <c r="C23" i="8"/>
  <c r="F23" i="8" s="1"/>
  <c r="I33" i="9"/>
  <c r="C33" i="9"/>
  <c r="F33" i="9" s="1"/>
  <c r="E10" i="1"/>
  <c r="F34" i="10" l="1"/>
  <c r="H34" i="10" s="1"/>
  <c r="F27" i="10"/>
  <c r="F32" i="10"/>
  <c r="H32" i="10" s="1"/>
  <c r="F33" i="10"/>
  <c r="H33" i="10" s="1"/>
  <c r="F29" i="10"/>
  <c r="B37" i="12"/>
  <c r="B39" i="12"/>
  <c r="B47" i="12"/>
  <c r="F43" i="9"/>
  <c r="H43" i="9" s="1"/>
  <c r="B45" i="12"/>
  <c r="B49" i="12"/>
  <c r="F31" i="9"/>
  <c r="H31" i="9" s="1"/>
  <c r="B51" i="12"/>
  <c r="J26" i="8"/>
  <c r="K26" i="8" s="1"/>
  <c r="H26" i="8"/>
  <c r="J28" i="8"/>
  <c r="K28" i="8" s="1"/>
  <c r="H28" i="8"/>
  <c r="B41" i="12"/>
  <c r="C41" i="12"/>
  <c r="C43" i="12"/>
  <c r="B43" i="12"/>
  <c r="J13" i="8"/>
  <c r="J17" i="8"/>
  <c r="K17" i="8" s="1"/>
  <c r="J15" i="8"/>
  <c r="K15" i="8" s="1"/>
  <c r="J20" i="8"/>
  <c r="K20" i="8" s="1"/>
  <c r="J14" i="8"/>
  <c r="K14" i="8" s="1"/>
  <c r="J12" i="8"/>
  <c r="K12" i="8" s="1"/>
  <c r="H23" i="10"/>
  <c r="J26" i="10"/>
  <c r="K26" i="10" s="1"/>
  <c r="H26" i="10"/>
  <c r="F22" i="10"/>
  <c r="H22" i="10" s="1"/>
  <c r="B21" i="12"/>
  <c r="F24" i="10"/>
  <c r="H24" i="10" s="1"/>
  <c r="B7" i="12"/>
  <c r="B34" i="12" s="1"/>
  <c r="B5" i="12"/>
  <c r="B22" i="12" s="1"/>
  <c r="B6" i="12"/>
  <c r="B18" i="12"/>
  <c r="B23" i="12"/>
  <c r="F13" i="10"/>
  <c r="H13" i="10" s="1"/>
  <c r="J21" i="10"/>
  <c r="K21" i="10" s="1"/>
  <c r="H21" i="10"/>
  <c r="F17" i="10"/>
  <c r="H17" i="10" s="1"/>
  <c r="F12" i="10"/>
  <c r="H12" i="10" s="1"/>
  <c r="F19" i="10"/>
  <c r="H19" i="10" s="1"/>
  <c r="F18" i="10"/>
  <c r="H18" i="10" s="1"/>
  <c r="F28" i="10"/>
  <c r="B27" i="12"/>
  <c r="B29" i="12"/>
  <c r="B31" i="12"/>
  <c r="H29" i="10"/>
  <c r="J27" i="10"/>
  <c r="K27" i="10" s="1"/>
  <c r="H27" i="10"/>
  <c r="J40" i="9"/>
  <c r="J42" i="9" s="1"/>
  <c r="K42" i="9" s="1"/>
  <c r="C11" i="12"/>
  <c r="H8" i="12"/>
  <c r="C7" i="12" s="1"/>
  <c r="C12" i="12"/>
  <c r="C9" i="12"/>
  <c r="C5" i="12"/>
  <c r="J30" i="9"/>
  <c r="J33" i="9" s="1"/>
  <c r="K33" i="9" s="1"/>
  <c r="J35" i="9"/>
  <c r="K35" i="9" s="1"/>
  <c r="I8" i="10"/>
  <c r="E2" i="11"/>
  <c r="H22" i="8"/>
  <c r="H21" i="8"/>
  <c r="J41" i="9"/>
  <c r="K41" i="9" s="1"/>
  <c r="F6" i="9"/>
  <c r="J17" i="9" s="1"/>
  <c r="J18" i="9" s="1"/>
  <c r="F8" i="7"/>
  <c r="F23" i="9" s="1"/>
  <c r="F9" i="7"/>
  <c r="F26" i="9" s="1"/>
  <c r="F10" i="7"/>
  <c r="F28" i="9" s="1"/>
  <c r="J11" i="9"/>
  <c r="H11" i="9"/>
  <c r="F12" i="9"/>
  <c r="F13" i="9"/>
  <c r="F14" i="9"/>
  <c r="F15" i="9"/>
  <c r="H20" i="9"/>
  <c r="H21" i="9"/>
  <c r="H19" i="9"/>
  <c r="H18" i="9"/>
  <c r="K13" i="8"/>
  <c r="H13" i="8"/>
  <c r="H15" i="8"/>
  <c r="H12" i="8"/>
  <c r="H14" i="8"/>
  <c r="H18" i="8"/>
  <c r="H23" i="8"/>
  <c r="H33" i="9"/>
  <c r="E9" i="3"/>
  <c r="E5" i="3"/>
  <c r="E3" i="3"/>
  <c r="C3" i="3" s="1"/>
  <c r="J29" i="10" l="1"/>
  <c r="K29" i="10" s="1"/>
  <c r="B33" i="12"/>
  <c r="B35" i="12"/>
  <c r="J36" i="9"/>
  <c r="K36" i="9" s="1"/>
  <c r="K30" i="9"/>
  <c r="J31" i="9"/>
  <c r="K31" i="9" s="1"/>
  <c r="J32" i="9"/>
  <c r="K32" i="9" s="1"/>
  <c r="J22" i="8"/>
  <c r="K22" i="8" s="1"/>
  <c r="J18" i="8"/>
  <c r="K18" i="8" s="1"/>
  <c r="J23" i="8"/>
  <c r="K23" i="8" s="1"/>
  <c r="J21" i="8"/>
  <c r="K21" i="8" s="1"/>
  <c r="J24" i="10"/>
  <c r="K24" i="10" s="1"/>
  <c r="J28" i="10"/>
  <c r="K28" i="10" s="1"/>
  <c r="H28" i="10"/>
  <c r="J22" i="10"/>
  <c r="K22" i="10" s="1"/>
  <c r="C6" i="12"/>
  <c r="B26" i="12"/>
  <c r="B25" i="12"/>
  <c r="C8" i="12"/>
  <c r="B30" i="12"/>
  <c r="J23" i="10"/>
  <c r="K23" i="10" s="1"/>
  <c r="J16" i="10"/>
  <c r="J11" i="10"/>
  <c r="J43" i="9"/>
  <c r="K43" i="9" s="1"/>
  <c r="K40" i="9"/>
  <c r="J37" i="9"/>
  <c r="K37" i="9" s="1"/>
  <c r="C21" i="12"/>
  <c r="C22" i="12"/>
  <c r="C23" i="12"/>
  <c r="C39" i="12"/>
  <c r="C38" i="12"/>
  <c r="C37" i="12"/>
  <c r="J38" i="9"/>
  <c r="K38" i="9" s="1"/>
  <c r="C50" i="12"/>
  <c r="C51" i="12"/>
  <c r="C49" i="12"/>
  <c r="C35" i="12"/>
  <c r="C33" i="12"/>
  <c r="C34" i="12"/>
  <c r="K8" i="10"/>
  <c r="J31" i="10" s="1"/>
  <c r="H7" i="12"/>
  <c r="C4" i="12" s="1"/>
  <c r="C46" i="12"/>
  <c r="C47" i="12"/>
  <c r="C45" i="12"/>
  <c r="C9" i="3"/>
  <c r="C5" i="3"/>
  <c r="K11" i="9"/>
  <c r="J13" i="9"/>
  <c r="K13" i="9" s="1"/>
  <c r="J14" i="9"/>
  <c r="K14" i="9" s="1"/>
  <c r="J15" i="9"/>
  <c r="K15" i="9" s="1"/>
  <c r="J12" i="9"/>
  <c r="K12" i="9" s="1"/>
  <c r="K17" i="9"/>
  <c r="J20" i="9"/>
  <c r="K20" i="9" s="1"/>
  <c r="J21" i="9"/>
  <c r="K21" i="9" s="1"/>
  <c r="K18" i="9"/>
  <c r="J19" i="9"/>
  <c r="K19" i="9" s="1"/>
  <c r="H14" i="9"/>
  <c r="H28" i="9"/>
  <c r="J28" i="9"/>
  <c r="K28" i="9" s="1"/>
  <c r="H13" i="9"/>
  <c r="J26" i="9"/>
  <c r="K26" i="9" s="1"/>
  <c r="H26" i="9"/>
  <c r="H12" i="9"/>
  <c r="H15" i="9"/>
  <c r="J23" i="9"/>
  <c r="H23" i="9"/>
  <c r="F24" i="9"/>
  <c r="G3" i="3"/>
  <c r="F3" i="3"/>
  <c r="D3" i="3"/>
  <c r="B3" i="3"/>
  <c r="G9" i="3"/>
  <c r="B9" i="3"/>
  <c r="D9" i="3"/>
  <c r="F9" i="3"/>
  <c r="D5" i="3"/>
  <c r="F5" i="3"/>
  <c r="G5" i="3"/>
  <c r="B5" i="3"/>
  <c r="E4" i="3"/>
  <c r="C4" i="3" s="1"/>
  <c r="G2" i="3"/>
  <c r="D2" i="3"/>
  <c r="F2" i="3"/>
  <c r="B5" i="1"/>
  <c r="C26" i="12" l="1"/>
  <c r="C27" i="12"/>
  <c r="C25" i="12"/>
  <c r="C30" i="12"/>
  <c r="C31" i="12"/>
  <c r="C29" i="12"/>
  <c r="J17" i="10"/>
  <c r="K17" i="10" s="1"/>
  <c r="J19" i="10"/>
  <c r="K19" i="10" s="1"/>
  <c r="K16" i="10"/>
  <c r="J18" i="10"/>
  <c r="K18" i="10" s="1"/>
  <c r="C18" i="12"/>
  <c r="C17" i="12"/>
  <c r="C19" i="12"/>
  <c r="K31" i="10"/>
  <c r="J32" i="10"/>
  <c r="K32" i="10" s="1"/>
  <c r="J33" i="10"/>
  <c r="K33" i="10" s="1"/>
  <c r="J34" i="10"/>
  <c r="K34" i="10" s="1"/>
  <c r="K11" i="10"/>
  <c r="J13" i="10"/>
  <c r="K13" i="10" s="1"/>
  <c r="J12" i="10"/>
  <c r="K12" i="10" s="1"/>
  <c r="J14" i="10"/>
  <c r="K14" i="10" s="1"/>
  <c r="C13" i="3"/>
  <c r="E13" i="3"/>
  <c r="K23" i="9"/>
  <c r="J24" i="9"/>
  <c r="K24" i="9" s="1"/>
  <c r="H24" i="9"/>
  <c r="G7" i="3"/>
  <c r="F7" i="3"/>
  <c r="D7" i="3"/>
  <c r="D6" i="3"/>
  <c r="F6" i="3"/>
  <c r="B6" i="3"/>
  <c r="G6" i="3"/>
  <c r="E8" i="3"/>
  <c r="D4" i="3"/>
  <c r="D13" i="3" s="1"/>
  <c r="G4" i="3"/>
  <c r="G13" i="3" s="1"/>
  <c r="B4" i="3"/>
  <c r="B13" i="3" s="1"/>
  <c r="F4" i="3"/>
  <c r="F13" i="3" s="1"/>
  <c r="D5" i="1"/>
  <c r="C8" i="3" l="1"/>
  <c r="C14" i="3" s="1"/>
  <c r="E14" i="3"/>
  <c r="D8" i="3"/>
  <c r="D14" i="3" s="1"/>
  <c r="G8" i="3"/>
  <c r="G14" i="3" s="1"/>
  <c r="F8" i="3"/>
  <c r="F14" i="3" s="1"/>
  <c r="B8" i="3"/>
  <c r="B14" i="3" s="1"/>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<sst xmlns="http://schemas.openxmlformats.org/spreadsheetml/2006/main" count="307" uniqueCount="195">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</sst>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IE/JRC-IDEES-2015_Residential_I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28b4aa0758e9db/Desktop/Next%20six%20month%20planning/T1.2.1%20(WP1)/IDEES-JRC/JRC-IDEES-2015_All_xlsx_IE/JRC-IDEES-2015_Transport_I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ES_summary"/>
      <sheetName val="RES_hh_num"/>
      <sheetName val="RES_hh_fec"/>
      <sheetName val="RES_hh_tes"/>
      <sheetName val="RES_hh_eff"/>
      <sheetName val="RES_hh_emi"/>
      <sheetName val="RES_hh_fech"/>
      <sheetName val="RES_hh_tesh"/>
      <sheetName val="RES_hh_emih"/>
      <sheetName val="RES_hh_fecs"/>
      <sheetName val="RES_hh_tess"/>
      <sheetName val="RES_hh_emis"/>
      <sheetName val="RES_hh_num_in"/>
      <sheetName val="RES_hh_fec_in"/>
      <sheetName val="RES_hh_tes_in"/>
      <sheetName val="RES_hh_eff_in"/>
      <sheetName val="RES_hh_emi_in"/>
      <sheetName val="RES_hh_fech_in"/>
      <sheetName val="RES_hh_tesh_in"/>
      <sheetName val="RES_hh_emih_in"/>
      <sheetName val="RES_hh_fecs_in"/>
      <sheetName val="RES_hh_tess_in"/>
      <sheetName val="RES_hh_emis_in"/>
      <sheetName val="RES_se-appl"/>
      <sheetName val="RES_RF"/>
      <sheetName val="RES_WM"/>
      <sheetName val="RES_DR"/>
      <sheetName val="RES_DW"/>
      <sheetName val="RES_TV"/>
      <sheetName val="RES_IT"/>
      <sheetName val="RES_LI"/>
      <sheetName val="RES_OA"/>
      <sheetName val="RES_hhdet_num"/>
      <sheetName val="RES_hhdet_out"/>
      <sheetName val="RES_hhdet_in"/>
      <sheetName val="RES_hhdet_in_new"/>
      <sheetName val="RES_hhdet_in_repl"/>
      <sheetName val="RES_hhdet_numvin"/>
      <sheetName val="RES_hhdet_fec"/>
      <sheetName val="RES_hhdet_tes"/>
      <sheetName val="RES_hhdet_eff"/>
      <sheetName val="RES_hhdet_emi"/>
      <sheetName val="RES_hhdet_fech"/>
      <sheetName val="RES_hhdet_tesh"/>
      <sheetName val="RES_hhdet_emih"/>
      <sheetName val="RES_hhdet_fecs"/>
      <sheetName val="RES_hhdet_tess"/>
      <sheetName val="RES_hhdet_emis"/>
      <sheetName val="RES_hhdet_in_fec"/>
      <sheetName val="RES_hhdet_in_tes"/>
      <sheetName val="RES_hhdet_in_eff"/>
      <sheetName val="RES_hhdet_in_emi"/>
      <sheetName val="RES_hhdet_in_fech"/>
      <sheetName val="RES_hhdet_in_tesh"/>
      <sheetName val="RES_hhdet_in_emih"/>
      <sheetName val="RES_hhdet_in_fecs"/>
      <sheetName val="RES_hhdet_in_tess"/>
      <sheetName val="RES_hhdet_in_emis"/>
      <sheetName val="RES_hh_SLD"/>
      <sheetName val="RES_hh_LPG"/>
      <sheetName val="RES_hh_GDO"/>
      <sheetName val="RES_hh_NGS"/>
      <sheetName val="RES_hh_BMS"/>
      <sheetName val="RES_hh_GEO"/>
      <sheetName val="RES_hh_DHT"/>
      <sheetName val="RES_hh_AEL"/>
      <sheetName val="RES_hh_CEL"/>
    </sheetNames>
    <sheetDataSet>
      <sheetData sheetId="0"/>
      <sheetData sheetId="1"/>
      <sheetData sheetId="2">
        <row r="157">
          <cell r="Q157">
            <v>5897.573081274687</v>
          </cell>
        </row>
        <row r="162">
          <cell r="Q162">
            <v>914.30522632566954</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Transport"/>
      <sheetName val="TrRoad_act"/>
      <sheetName val="TrRoad_ene"/>
      <sheetName val="TrRoad_emi"/>
      <sheetName val="TrRoad_tech"/>
      <sheetName val="TrRail_act"/>
      <sheetName val="TrRail_ene"/>
      <sheetName val="TrRail_emi"/>
      <sheetName val="TrAvia_act"/>
      <sheetName val="TrAvia_ene"/>
      <sheetName val="TrAvia_emi"/>
      <sheetName val="TrAvia_png"/>
      <sheetName val="TrNavi_act"/>
      <sheetName val="TrNavi_ene"/>
      <sheetName val="TrNavi_emi"/>
    </sheetNames>
    <sheetDataSet>
      <sheetData sheetId="0" refreshError="1"/>
      <sheetData sheetId="1" refreshError="1"/>
      <sheetData sheetId="2">
        <row r="30">
          <cell r="Q30">
            <v>3239.309642017296</v>
          </cell>
        </row>
        <row r="56">
          <cell r="Q56">
            <v>9578.2475313662253</v>
          </cell>
        </row>
      </sheetData>
      <sheetData sheetId="3">
        <row r="150">
          <cell r="Q150">
            <v>27.200000000000003</v>
          </cell>
        </row>
      </sheetData>
      <sheetData sheetId="4">
        <row r="62">
          <cell r="Q62">
            <v>3.597525588307287</v>
          </cell>
        </row>
        <row r="64">
          <cell r="Q64">
            <v>6.3262236495389441</v>
          </cell>
        </row>
        <row r="65">
          <cell r="Q65">
            <v>6.1175642620216237</v>
          </cell>
        </row>
        <row r="68">
          <cell r="Q68">
            <v>3.2992491750174389</v>
          </cell>
        </row>
        <row r="69">
          <cell r="Q69">
            <v>2.7525522833872382</v>
          </cell>
        </row>
        <row r="70">
          <cell r="Q70">
            <v>52.552533520464848</v>
          </cell>
        </row>
      </sheetData>
      <sheetData sheetId="5">
        <row r="48">
          <cell r="Q48">
            <v>2.834491991531761</v>
          </cell>
        </row>
        <row r="49">
          <cell r="Q49">
            <v>3.0265688309369292</v>
          </cell>
        </row>
      </sheetData>
      <sheetData sheetId="6" refreshError="1"/>
      <sheetData sheetId="7">
        <row r="62">
          <cell r="Q62">
            <v>64.611756779518274</v>
          </cell>
        </row>
        <row r="63">
          <cell r="Q63">
            <v>107.68626129919713</v>
          </cell>
        </row>
      </sheetData>
      <sheetData sheetId="8">
        <row r="31">
          <cell r="Q31">
            <v>35.428805928882845</v>
          </cell>
        </row>
        <row r="33">
          <cell r="Q33">
            <v>216.40767784817348</v>
          </cell>
        </row>
        <row r="34">
          <cell r="Q34">
            <v>157.47949580462753</v>
          </cell>
        </row>
      </sheetData>
      <sheetData sheetId="9" refreshError="1"/>
      <sheetData sheetId="10">
        <row r="69">
          <cell r="Q69">
            <v>124.67038719500687</v>
          </cell>
        </row>
      </sheetData>
      <sheetData sheetId="11">
        <row r="37">
          <cell r="Q37">
            <v>3462.7041953720013</v>
          </cell>
        </row>
      </sheetData>
      <sheetData sheetId="12">
        <row r="41">
          <cell r="Q41">
            <v>10422.86413904322</v>
          </cell>
        </row>
      </sheetData>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'[4]Passenger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C4" sqref="C4"/>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f>[1]RES_summary!$Q$162</f>
        <v>914.30522632566954</v>
      </c>
      <c r="C3" s="6">
        <v>0.437</v>
      </c>
      <c r="D3" s="2">
        <f>B3*$C3</f>
        <v>399.55138390431756</v>
      </c>
      <c r="E3" s="31">
        <v>314.49</v>
      </c>
    </row>
    <row r="4" spans="1:5" x14ac:dyDescent="0.3">
      <c r="A4" s="1" t="s">
        <v>5</v>
      </c>
      <c r="B4" s="6">
        <f>[1]RES_summary!$Q$157</f>
        <v>5897.573081274687</v>
      </c>
      <c r="C4" s="6">
        <v>0.20200000000000001</v>
      </c>
      <c r="D4" s="29">
        <f>B4*$C4</f>
        <v>1191.3097624174868</v>
      </c>
      <c r="E4" s="31">
        <v>1082.05</v>
      </c>
    </row>
    <row r="5" spans="1:5" x14ac:dyDescent="0.3">
      <c r="A5" s="1" t="s">
        <v>6</v>
      </c>
      <c r="B5" s="2">
        <f>B3+B4</f>
        <v>6811.8783076003565</v>
      </c>
      <c r="C5" s="3" t="s">
        <v>7</v>
      </c>
      <c r="D5" s="29">
        <f>D3+D4</f>
        <v>1590.8611463218044</v>
      </c>
      <c r="E5" s="31">
        <f>E3+E4</f>
        <v>1396.54</v>
      </c>
    </row>
    <row r="7" spans="1:5" x14ac:dyDescent="0.3">
      <c r="A7" t="s">
        <v>20</v>
      </c>
      <c r="B7" s="5">
        <v>4628949</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f>[2]Transport!$Q$30</f>
        <v>3239.309642017296</v>
      </c>
      <c r="C10" s="2">
        <f>B10*11630*1000/B7</f>
        <v>8138.6014701525437</v>
      </c>
      <c r="D10" s="6">
        <f>[2]Transport!$Q$56</f>
        <v>9578.2475313662253</v>
      </c>
      <c r="E10" s="2">
        <f>D10*1000000/B7</f>
        <v>2069.2056731163439</v>
      </c>
    </row>
    <row r="11" spans="1:5" x14ac:dyDescent="0.3">
      <c r="A11" s="39" t="s">
        <v>142</v>
      </c>
      <c r="B11" s="40">
        <f>B10*11630</f>
        <v>37673171.13666115</v>
      </c>
      <c r="C11" s="40" t="s">
        <v>143</v>
      </c>
      <c r="D11" s="40">
        <f>D10*1000</f>
        <v>9578247.5313662253</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685.72891974425215</v>
      </c>
      <c r="C2" s="35">
        <f>E2*0.9</f>
        <v>822.87470369310256</v>
      </c>
      <c r="D2" s="35">
        <f>0.95*E2</f>
        <v>868.58996500938599</v>
      </c>
      <c r="E2" s="35">
        <f>'Cons and emi per capita'!B3</f>
        <v>914.30522632566954</v>
      </c>
      <c r="F2" s="35">
        <f>1.05*E2</f>
        <v>960.02048764195308</v>
      </c>
      <c r="G2" s="35">
        <f>1.25*E2</f>
        <v>1142.8815329070869</v>
      </c>
      <c r="H2" s="12" t="s">
        <v>28</v>
      </c>
    </row>
    <row r="3" spans="1:8" x14ac:dyDescent="0.3">
      <c r="A3" s="1" t="s">
        <v>5</v>
      </c>
      <c r="B3" s="35">
        <f t="shared" ref="B3:B4" si="0">0.75*E3</f>
        <v>4423.179810956015</v>
      </c>
      <c r="C3" s="35">
        <f t="shared" ref="C3:C4" si="1">E3*0.9</f>
        <v>5307.8157731472184</v>
      </c>
      <c r="D3" s="35">
        <f t="shared" ref="D3:D9" si="2">0.95*E3</f>
        <v>5602.6944272109522</v>
      </c>
      <c r="E3" s="17">
        <f>'Cons and emi per capita'!B4</f>
        <v>5897.573081274687</v>
      </c>
      <c r="F3" s="35">
        <f t="shared" ref="F3:F9" si="3">1.05*E3</f>
        <v>6192.4517353384217</v>
      </c>
      <c r="G3" s="35">
        <f t="shared" ref="G3:G4" si="4">1.25*E3</f>
        <v>7371.9663515933589</v>
      </c>
      <c r="H3" s="1" t="s">
        <v>28</v>
      </c>
    </row>
    <row r="4" spans="1:8" x14ac:dyDescent="0.3">
      <c r="A4" s="1" t="s">
        <v>18</v>
      </c>
      <c r="B4" s="35">
        <f t="shared" si="0"/>
        <v>5108.9087307002674</v>
      </c>
      <c r="C4" s="35">
        <f t="shared" si="1"/>
        <v>6130.690476840321</v>
      </c>
      <c r="D4" s="35">
        <f t="shared" si="2"/>
        <v>6471.2843922203383</v>
      </c>
      <c r="E4" s="17">
        <f>E2+E3</f>
        <v>6811.8783076003565</v>
      </c>
      <c r="F4" s="35">
        <f t="shared" si="3"/>
        <v>7152.4722229803747</v>
      </c>
      <c r="G4" s="35">
        <f t="shared" si="4"/>
        <v>8514.8478845004465</v>
      </c>
      <c r="H4" s="1" t="s">
        <v>28</v>
      </c>
    </row>
    <row r="5" spans="1:8" x14ac:dyDescent="0.3">
      <c r="A5" s="1" t="s">
        <v>33</v>
      </c>
      <c r="B5" s="17">
        <f>0.84*E5</f>
        <v>6836.4252349281369</v>
      </c>
      <c r="C5" s="35">
        <f>E5*0.91</f>
        <v>7406.127337838815</v>
      </c>
      <c r="D5" s="35">
        <f t="shared" si="2"/>
        <v>7731.6713966449161</v>
      </c>
      <c r="E5" s="17">
        <f>'Cons and emi per capita'!C10</f>
        <v>8138.6014701525437</v>
      </c>
      <c r="F5" s="35">
        <f t="shared" si="3"/>
        <v>8545.5315436601704</v>
      </c>
      <c r="G5" s="17">
        <f>1.16*E5</f>
        <v>9440.7777053769496</v>
      </c>
      <c r="H5" s="1" t="s">
        <v>28</v>
      </c>
    </row>
    <row r="6" spans="1:8" x14ac:dyDescent="0.3">
      <c r="A6" s="1" t="s">
        <v>29</v>
      </c>
      <c r="B6" s="17">
        <f>0.75*E6</f>
        <v>299.66353792823816</v>
      </c>
      <c r="C6" s="35">
        <f>E6*0.9</f>
        <v>359.59624551388583</v>
      </c>
      <c r="D6" s="35">
        <f t="shared" si="2"/>
        <v>379.57381470910167</v>
      </c>
      <c r="E6" s="17">
        <f>'Cons and emi per capita'!D3</f>
        <v>399.55138390431756</v>
      </c>
      <c r="F6" s="35">
        <f t="shared" si="3"/>
        <v>419.52895309953345</v>
      </c>
      <c r="G6" s="17">
        <f>1.25*E6</f>
        <v>499.43922988039697</v>
      </c>
      <c r="H6" s="1" t="s">
        <v>30</v>
      </c>
    </row>
    <row r="7" spans="1:8" x14ac:dyDescent="0.3">
      <c r="A7" s="1" t="s">
        <v>31</v>
      </c>
      <c r="B7" s="17">
        <f>0.75*E7</f>
        <v>893.48232181311505</v>
      </c>
      <c r="C7" s="35">
        <f t="shared" ref="C7:C8" si="5">E7*0.9</f>
        <v>1072.1787861757382</v>
      </c>
      <c r="D7" s="35">
        <f t="shared" si="2"/>
        <v>1131.7442742966125</v>
      </c>
      <c r="E7" s="17">
        <f>'Cons and emi per capita'!D4</f>
        <v>1191.3097624174868</v>
      </c>
      <c r="F7" s="35">
        <f t="shared" si="3"/>
        <v>1250.8752505383611</v>
      </c>
      <c r="G7" s="17">
        <f t="shared" ref="G7:G8" si="6">1.25*E7</f>
        <v>1489.1372030218586</v>
      </c>
      <c r="H7" s="1" t="s">
        <v>30</v>
      </c>
    </row>
    <row r="8" spans="1:8" x14ac:dyDescent="0.3">
      <c r="A8" s="1" t="s">
        <v>32</v>
      </c>
      <c r="B8" s="17">
        <f t="shared" ref="B8" si="7">0.75*E8</f>
        <v>1193.1458597413534</v>
      </c>
      <c r="C8" s="35">
        <f t="shared" si="5"/>
        <v>1431.775031689624</v>
      </c>
      <c r="D8" s="35">
        <f t="shared" si="2"/>
        <v>1511.3180890057142</v>
      </c>
      <c r="E8" s="17">
        <f>E6+E7</f>
        <v>1590.8611463218044</v>
      </c>
      <c r="F8" s="35">
        <f t="shared" si="3"/>
        <v>1670.4042036378946</v>
      </c>
      <c r="G8" s="17">
        <f t="shared" si="6"/>
        <v>1988.5764329022554</v>
      </c>
      <c r="H8" s="1" t="s">
        <v>30</v>
      </c>
    </row>
    <row r="9" spans="1:8" x14ac:dyDescent="0.3">
      <c r="A9" s="1" t="s">
        <v>34</v>
      </c>
      <c r="B9" s="17">
        <f>0.84*E9</f>
        <v>1738.1327654177287</v>
      </c>
      <c r="C9" s="35">
        <f>E9*0.91</f>
        <v>1882.977162535873</v>
      </c>
      <c r="D9" s="35">
        <f t="shared" si="2"/>
        <v>1965.7453894605267</v>
      </c>
      <c r="E9" s="17">
        <f>'Cons and emi per capita'!E10</f>
        <v>2069.2056731163439</v>
      </c>
      <c r="F9" s="35">
        <f t="shared" si="3"/>
        <v>2172.6659567721613</v>
      </c>
      <c r="G9" s="17">
        <f>1.16*E9</f>
        <v>2400.2785808149588</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11945.333965628404</v>
      </c>
      <c r="C13" s="37">
        <f t="shared" ref="C13:G13" si="8">SUM(C4:C5)</f>
        <v>13536.817814679136</v>
      </c>
      <c r="D13" s="37">
        <f t="shared" si="8"/>
        <v>14202.955788865254</v>
      </c>
      <c r="E13" s="37">
        <f t="shared" si="8"/>
        <v>14950.4797777529</v>
      </c>
      <c r="F13" s="37">
        <f t="shared" si="8"/>
        <v>15698.003766640544</v>
      </c>
      <c r="G13" s="37">
        <f t="shared" si="8"/>
        <v>17955.625589877396</v>
      </c>
    </row>
    <row r="14" spans="1:8" x14ac:dyDescent="0.3">
      <c r="B14" s="37">
        <f>SUM(B8:B9)</f>
        <v>2931.2786251590824</v>
      </c>
      <c r="C14" s="37">
        <f t="shared" ref="C14:G14" si="9">SUM(C8:C9)</f>
        <v>3314.7521942254971</v>
      </c>
      <c r="D14" s="37">
        <f t="shared" si="9"/>
        <v>3477.0634784662407</v>
      </c>
      <c r="E14" s="37">
        <f t="shared" si="9"/>
        <v>3660.0668194381483</v>
      </c>
      <c r="F14" s="37">
        <f t="shared" si="9"/>
        <v>3843.0701604100559</v>
      </c>
      <c r="G14" s="37">
        <f t="shared" si="9"/>
        <v>4388.8550137172142</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5" zoomScale="90" zoomScaleNormal="90" workbookViewId="0">
      <selection activeCell="B33" sqref="B33"/>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6"/>
    </row>
    <row r="2" spans="1:11" ht="28.2" customHeight="1" x14ac:dyDescent="0.3">
      <c r="A2" s="74" t="s">
        <v>64</v>
      </c>
      <c r="B2" s="74"/>
      <c r="C2" s="74"/>
      <c r="D2" s="74"/>
      <c r="E2" s="74"/>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75" t="s">
        <v>38</v>
      </c>
      <c r="B4" s="75"/>
      <c r="C4" s="75"/>
      <c r="D4" s="75"/>
      <c r="E4" s="75"/>
      <c r="G4" s="1" t="s">
        <v>81</v>
      </c>
      <c r="H4" s="1">
        <v>15.9</v>
      </c>
      <c r="I4" s="1">
        <v>50</v>
      </c>
      <c r="J4" s="1">
        <v>84.1</v>
      </c>
      <c r="K4" t="s">
        <v>78</v>
      </c>
    </row>
    <row r="5" spans="1:11" x14ac:dyDescent="0.3">
      <c r="A5" s="57" t="s">
        <v>39</v>
      </c>
      <c r="B5" s="57"/>
      <c r="C5" s="57"/>
      <c r="D5" s="57"/>
      <c r="E5" s="57"/>
      <c r="G5" s="1" t="s">
        <v>82</v>
      </c>
      <c r="H5" s="17">
        <f>H$4*I5/I$4</f>
        <v>8.6496000000000013</v>
      </c>
      <c r="I5" s="17">
        <f>B6</f>
        <v>27.200000000000003</v>
      </c>
      <c r="J5" s="17">
        <f>J$4*I5/I$4</f>
        <v>45.750399999999999</v>
      </c>
    </row>
    <row r="6" spans="1:11" x14ac:dyDescent="0.3">
      <c r="A6" s="1" t="s">
        <v>40</v>
      </c>
      <c r="B6" s="6">
        <f>[2]TrRoad_act!$Q$150</f>
        <v>27.200000000000003</v>
      </c>
      <c r="C6" s="1" t="s">
        <v>59</v>
      </c>
      <c r="D6" s="3" t="s">
        <v>7</v>
      </c>
      <c r="E6" s="1"/>
      <c r="G6" s="1" t="s">
        <v>83</v>
      </c>
      <c r="H6" s="17">
        <f t="shared" ref="H6:H8" si="0">H$4*I6/I$4</f>
        <v>20.54653865588681</v>
      </c>
      <c r="I6" s="17">
        <f>B20</f>
        <v>64.611756779518274</v>
      </c>
      <c r="J6" s="17">
        <f t="shared" ref="J6:J8" si="1">J$4*I6/I$4</f>
        <v>108.67697490314973</v>
      </c>
    </row>
    <row r="7" spans="1:11" x14ac:dyDescent="0.3">
      <c r="A7" s="57" t="s">
        <v>61</v>
      </c>
      <c r="B7" s="57"/>
      <c r="C7" s="57"/>
      <c r="D7" s="57"/>
      <c r="E7" s="57"/>
      <c r="G7" s="1" t="s">
        <v>84</v>
      </c>
      <c r="H7" s="17">
        <f t="shared" si="0"/>
        <v>34.244231093144684</v>
      </c>
      <c r="I7" s="17">
        <f>B21</f>
        <v>107.68626129919713</v>
      </c>
      <c r="J7" s="17">
        <f t="shared" si="1"/>
        <v>181.12829150524954</v>
      </c>
    </row>
    <row r="8" spans="1:11" x14ac:dyDescent="0.3">
      <c r="A8" s="1" t="s">
        <v>42</v>
      </c>
      <c r="B8" s="6">
        <f>[2]TrRoad_ene!$Q$62</f>
        <v>3.597525588307287</v>
      </c>
      <c r="C8" s="74" t="s">
        <v>60</v>
      </c>
      <c r="D8" s="27">
        <f>B8*11.63/100</f>
        <v>0.41839222592013747</v>
      </c>
      <c r="E8" s="74" t="s">
        <v>41</v>
      </c>
      <c r="G8" s="1" t="s">
        <v>85</v>
      </c>
      <c r="H8" s="17">
        <f t="shared" si="0"/>
        <v>0</v>
      </c>
      <c r="I8" s="17">
        <f>B22</f>
        <v>0</v>
      </c>
      <c r="J8" s="17">
        <f t="shared" si="1"/>
        <v>0</v>
      </c>
    </row>
    <row r="9" spans="1:11" x14ac:dyDescent="0.3">
      <c r="A9" s="1" t="s">
        <v>43</v>
      </c>
      <c r="B9" s="3" t="s">
        <v>7</v>
      </c>
      <c r="C9" s="74"/>
      <c r="D9" s="3" t="s">
        <v>7</v>
      </c>
      <c r="E9" s="74"/>
    </row>
    <row r="10" spans="1:11" x14ac:dyDescent="0.3">
      <c r="A10" s="1" t="s">
        <v>44</v>
      </c>
      <c r="B10" s="6">
        <f>AVERAGE([2]TrRoad_ene!$Q$64:$Q$65)</f>
        <v>6.2218939557802839</v>
      </c>
      <c r="C10" s="74"/>
      <c r="D10" s="27">
        <f t="shared" ref="D10:D13" si="2">B10*11.63/100</f>
        <v>0.72360626705724718</v>
      </c>
      <c r="E10" s="74"/>
    </row>
    <row r="11" spans="1:11" x14ac:dyDescent="0.3">
      <c r="A11" s="1" t="s">
        <v>45</v>
      </c>
      <c r="B11" s="6">
        <f>[2]TrRoad_ene!$Q$68</f>
        <v>3.2992491750174389</v>
      </c>
      <c r="C11" s="74"/>
      <c r="D11" s="27">
        <f t="shared" si="2"/>
        <v>0.38370267905452815</v>
      </c>
      <c r="E11" s="74"/>
    </row>
    <row r="12" spans="1:11" x14ac:dyDescent="0.3">
      <c r="A12" s="1" t="s">
        <v>46</v>
      </c>
      <c r="B12" s="6">
        <f>[2]TrRoad_ene!$Q$69</f>
        <v>2.7525522833872382</v>
      </c>
      <c r="C12" s="74"/>
      <c r="D12" s="27">
        <f t="shared" si="2"/>
        <v>0.32012183055793586</v>
      </c>
      <c r="E12" s="74"/>
    </row>
    <row r="13" spans="1:11" x14ac:dyDescent="0.3">
      <c r="A13" s="1" t="s">
        <v>40</v>
      </c>
      <c r="B13" s="6">
        <f>[2]TrRoad_ene!$Q$70</f>
        <v>52.552533520464848</v>
      </c>
      <c r="C13" s="74"/>
      <c r="D13" s="27">
        <f t="shared" si="2"/>
        <v>6.1118596484300625</v>
      </c>
      <c r="E13" s="74"/>
    </row>
    <row r="14" spans="1:11" x14ac:dyDescent="0.3">
      <c r="A14" s="57" t="s">
        <v>63</v>
      </c>
      <c r="B14" s="57"/>
      <c r="C14" s="57"/>
      <c r="D14" s="57"/>
      <c r="E14" s="57"/>
    </row>
    <row r="15" spans="1:11" x14ac:dyDescent="0.3">
      <c r="A15" s="38" t="s">
        <v>145</v>
      </c>
      <c r="B15" s="6">
        <v>3.1</v>
      </c>
      <c r="C15" s="1" t="s">
        <v>62</v>
      </c>
      <c r="D15" s="28">
        <f>B15*1000/11630</f>
        <v>0.26655202063628547</v>
      </c>
      <c r="E15" s="1" t="s">
        <v>47</v>
      </c>
    </row>
    <row r="16" spans="1:11" x14ac:dyDescent="0.3">
      <c r="A16" s="1" t="s">
        <v>48</v>
      </c>
      <c r="B16" s="6">
        <f>AVERAGE([2]TrRoad_emi!$Q$48:$Q$49)</f>
        <v>2.9305304112343453</v>
      </c>
      <c r="C16" s="1" t="s">
        <v>62</v>
      </c>
      <c r="D16" s="28">
        <f>B16*1000/11630</f>
        <v>0.25198025891954817</v>
      </c>
      <c r="E16" s="1" t="s">
        <v>47</v>
      </c>
    </row>
    <row r="17" spans="1:5" x14ac:dyDescent="0.3">
      <c r="A17" s="1" t="s">
        <v>65</v>
      </c>
      <c r="B17" s="6">
        <v>0.29299999999999998</v>
      </c>
      <c r="C17" s="1" t="s">
        <v>47</v>
      </c>
      <c r="D17" s="2">
        <f>B17</f>
        <v>0.29299999999999998</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f>[2]TrRail_act!$Q$62</f>
        <v>64.611756779518274</v>
      </c>
      <c r="C20" s="68" t="s">
        <v>59</v>
      </c>
      <c r="D20" s="3" t="s">
        <v>7</v>
      </c>
      <c r="E20" s="1"/>
    </row>
    <row r="21" spans="1:5" x14ac:dyDescent="0.3">
      <c r="A21" s="1" t="s">
        <v>51</v>
      </c>
      <c r="B21" s="6">
        <f>[2]TrRail_act!$Q$63</f>
        <v>107.68626129919713</v>
      </c>
      <c r="C21" s="69"/>
      <c r="D21" s="3" t="s">
        <v>7</v>
      </c>
      <c r="E21" s="1"/>
    </row>
    <row r="22" spans="1:5" x14ac:dyDescent="0.3">
      <c r="A22" s="1" t="s">
        <v>52</v>
      </c>
      <c r="B22" s="6"/>
      <c r="C22" s="70"/>
      <c r="D22" s="3" t="s">
        <v>7</v>
      </c>
      <c r="E22" s="1"/>
    </row>
    <row r="23" spans="1:5" x14ac:dyDescent="0.3">
      <c r="A23" s="65" t="s">
        <v>53</v>
      </c>
      <c r="B23" s="66"/>
      <c r="C23" s="66"/>
      <c r="D23" s="66"/>
      <c r="E23" s="67"/>
    </row>
    <row r="24" spans="1:5" x14ac:dyDescent="0.3">
      <c r="A24" s="1" t="s">
        <v>50</v>
      </c>
      <c r="B24" s="6">
        <f>[2]TrRail_ene!$Q$31</f>
        <v>35.428805928882845</v>
      </c>
      <c r="C24" s="71" t="s">
        <v>60</v>
      </c>
      <c r="D24" s="2">
        <f>B24*11.63/100</f>
        <v>4.1203701295290749</v>
      </c>
      <c r="E24" s="71" t="s">
        <v>41</v>
      </c>
    </row>
    <row r="25" spans="1:5" x14ac:dyDescent="0.3">
      <c r="A25" s="1" t="s">
        <v>144</v>
      </c>
      <c r="B25" s="6">
        <f>[2]TrRail_ene!$Q$33</f>
        <v>216.40767784817348</v>
      </c>
      <c r="C25" s="72"/>
      <c r="D25" s="27">
        <f t="shared" ref="D25:D27" si="3">B25*11.63/100</f>
        <v>25.168212933742574</v>
      </c>
      <c r="E25" s="72"/>
    </row>
    <row r="26" spans="1:5" x14ac:dyDescent="0.3">
      <c r="A26" s="1" t="s">
        <v>51</v>
      </c>
      <c r="B26" s="6">
        <f>[2]TrRail_ene!$Q$34</f>
        <v>157.47949580462753</v>
      </c>
      <c r="C26" s="72"/>
      <c r="D26" s="27">
        <f t="shared" si="3"/>
        <v>18.314865362078184</v>
      </c>
      <c r="E26" s="72"/>
    </row>
    <row r="27" spans="1:5" x14ac:dyDescent="0.3">
      <c r="A27" s="1" t="s">
        <v>52</v>
      </c>
      <c r="B27" s="6"/>
      <c r="C27" s="73"/>
      <c r="D27" s="2">
        <f t="shared" si="3"/>
        <v>0</v>
      </c>
      <c r="E27" s="73"/>
    </row>
    <row r="28" spans="1:5" x14ac:dyDescent="0.3">
      <c r="A28" s="65" t="s">
        <v>63</v>
      </c>
      <c r="B28" s="66"/>
      <c r="C28" s="66"/>
      <c r="D28" s="66"/>
      <c r="E28" s="67"/>
    </row>
    <row r="29" spans="1:5" x14ac:dyDescent="0.3">
      <c r="A29" s="1" t="s">
        <v>65</v>
      </c>
      <c r="B29" s="26">
        <f>B17</f>
        <v>0.29299999999999998</v>
      </c>
      <c r="C29" s="1" t="s">
        <v>47</v>
      </c>
      <c r="D29" s="2">
        <f>B29</f>
        <v>0.29299999999999998</v>
      </c>
      <c r="E29" s="1" t="s">
        <v>47</v>
      </c>
    </row>
    <row r="30" spans="1:5" x14ac:dyDescent="0.3">
      <c r="A30" s="62" t="s">
        <v>54</v>
      </c>
      <c r="B30" s="63"/>
      <c r="C30" s="63"/>
      <c r="D30" s="63"/>
      <c r="E30" s="64"/>
    </row>
    <row r="31" spans="1:5" x14ac:dyDescent="0.3">
      <c r="A31" s="1" t="s">
        <v>68</v>
      </c>
      <c r="B31" s="6">
        <f>[2]TrAvia_act!$Q$69</f>
        <v>124.67038719500687</v>
      </c>
      <c r="C31" s="1" t="s">
        <v>67</v>
      </c>
      <c r="D31" s="3" t="s">
        <v>7</v>
      </c>
      <c r="E31" s="1"/>
    </row>
    <row r="32" spans="1:5" x14ac:dyDescent="0.3">
      <c r="A32" s="1" t="s">
        <v>72</v>
      </c>
      <c r="B32" s="6">
        <f>[2]TrAvia_ene!$Q$37</f>
        <v>3462.7041953720013</v>
      </c>
      <c r="C32" s="1" t="s">
        <v>69</v>
      </c>
      <c r="D32" s="28">
        <f>B32*11.63*10^(-3)/B31</f>
        <v>0.32302177524470915</v>
      </c>
      <c r="E32" s="1" t="s">
        <v>55</v>
      </c>
    </row>
    <row r="33" spans="1:5" x14ac:dyDescent="0.3">
      <c r="A33" s="1" t="s">
        <v>71</v>
      </c>
      <c r="B33" s="6">
        <f>[2]TrAvia_emi!$Q$41</f>
        <v>10422.86413904322</v>
      </c>
      <c r="C33" s="1" t="s">
        <v>70</v>
      </c>
      <c r="D33" s="28">
        <f>B33/B31</f>
        <v>83.603367034867631</v>
      </c>
      <c r="E33" s="1" t="s">
        <v>56</v>
      </c>
    </row>
    <row r="35" spans="1:5" x14ac:dyDescent="0.3">
      <c r="A35" s="58" t="s">
        <v>73</v>
      </c>
      <c r="B35" s="59"/>
      <c r="C35" s="59"/>
      <c r="D35" s="59"/>
      <c r="E35" s="60"/>
    </row>
    <row r="36" spans="1:5" x14ac:dyDescent="0.3">
      <c r="A36" s="44" t="s">
        <v>74</v>
      </c>
      <c r="B36" s="45"/>
      <c r="C36" s="45"/>
      <c r="D36" s="45"/>
      <c r="E36" s="46"/>
    </row>
  </sheetData>
  <mergeCells count="20">
    <mergeCell ref="E8:E13"/>
    <mergeCell ref="A4:E4"/>
    <mergeCell ref="A5:E5"/>
    <mergeCell ref="A7:E7"/>
    <mergeCell ref="A14:E14"/>
    <mergeCell ref="A35:E35"/>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tabSelected="1" zoomScale="70" zoomScaleNormal="70" workbookViewId="0">
      <selection activeCell="E9" sqref="E9"/>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0.29299999999999998</v>
      </c>
    </row>
    <row r="4" spans="1:8" x14ac:dyDescent="0.3">
      <c r="A4" t="s">
        <v>87</v>
      </c>
      <c r="B4">
        <f>'Passenger transport data'!D13</f>
        <v>6.1118596484300625</v>
      </c>
      <c r="C4">
        <f>Tabla4[[#This Row],[ENERGY CONSUMPTION PER VEHICLE]]*H7</f>
        <v>1.6593145120613113</v>
      </c>
      <c r="G4" t="s">
        <v>165</v>
      </c>
      <c r="H4">
        <f>BUS!C16</f>
        <v>0.26053310404127256</v>
      </c>
    </row>
    <row r="5" spans="1:8" x14ac:dyDescent="0.3">
      <c r="A5" t="s">
        <v>179</v>
      </c>
      <c r="B5">
        <f>B4</f>
        <v>6.1118596484300625</v>
      </c>
      <c r="C5">
        <f>Tabla4[[#This Row],[ENERGY CONSUMPTION PER VEHICLE]]*H3</f>
        <v>1.7907748769900083</v>
      </c>
      <c r="G5" t="s">
        <v>180</v>
      </c>
      <c r="H5">
        <f>'Passenger transport data'!D15</f>
        <v>0.26655202063628547</v>
      </c>
    </row>
    <row r="6" spans="1:8" x14ac:dyDescent="0.3">
      <c r="A6" t="s">
        <v>181</v>
      </c>
      <c r="B6">
        <f>B4</f>
        <v>6.1118596484300625</v>
      </c>
      <c r="C6">
        <f>Tabla4[[#This Row],[ENERGY CONSUMPTION PER VEHICLE]]*H4</f>
        <v>1.5923417656700849</v>
      </c>
      <c r="G6" t="s">
        <v>182</v>
      </c>
      <c r="H6">
        <f>BUS!E5</f>
        <v>0.22800000000000001</v>
      </c>
    </row>
    <row r="7" spans="1:8" x14ac:dyDescent="0.3">
      <c r="A7" t="s">
        <v>191</v>
      </c>
      <c r="B7">
        <f>B4</f>
        <v>6.1118596484300625</v>
      </c>
      <c r="C7">
        <f>Tabla4[[#This Row],[ENERGY CONSUMPTION PER VEHICLE]]*H8</f>
        <v>1.6915583213300467</v>
      </c>
      <c r="G7" t="s">
        <v>184</v>
      </c>
      <c r="H7">
        <f>BUS!E2</f>
        <v>0.27149093852106621</v>
      </c>
    </row>
    <row r="8" spans="1:8" x14ac:dyDescent="0.3">
      <c r="A8" t="s">
        <v>183</v>
      </c>
      <c r="C8">
        <f>Tabla4[[#This Row],[ENERGY CONSUMPTION PER VEHICLE]]*H6</f>
        <v>0</v>
      </c>
      <c r="G8" t="s">
        <v>192</v>
      </c>
      <c r="H8">
        <f>0.5*H3+0.5*H4</f>
        <v>0.27676655202063627</v>
      </c>
    </row>
    <row r="9" spans="1:8" x14ac:dyDescent="0.3">
      <c r="A9" t="s">
        <v>185</v>
      </c>
      <c r="B9">
        <f>'Passenger transport data'!D26</f>
        <v>18.314865362078184</v>
      </c>
      <c r="C9">
        <f>Tabla4[[#This Row],[ENERGY CONSUMPTION PER VEHICLE]]*H3</f>
        <v>5.3662555510889076</v>
      </c>
    </row>
    <row r="10" spans="1:8" x14ac:dyDescent="0.3">
      <c r="A10" t="s">
        <v>146</v>
      </c>
      <c r="B10">
        <f>'Passenger transport data'!D25</f>
        <v>25.168212933742574</v>
      </c>
      <c r="C10">
        <f>Tabla4[[#This Row],[ENERGY CONSUMPTION PER VEHICLE]]*H5</f>
        <v>6.7086380132933776</v>
      </c>
    </row>
    <row r="11" spans="1:8" x14ac:dyDescent="0.3">
      <c r="A11" t="s">
        <v>103</v>
      </c>
      <c r="B11">
        <f>'Passenger transport data'!D27</f>
        <v>0</v>
      </c>
      <c r="C11">
        <f>Tabla4[[#This Row],[ENERGY CONSUMPTION PER VEHICLE]]*H3</f>
        <v>0</v>
      </c>
    </row>
    <row r="12" spans="1:8" x14ac:dyDescent="0.3">
      <c r="A12" t="s">
        <v>186</v>
      </c>
      <c r="B12">
        <f>'Passenger transport data'!D24</f>
        <v>4.1203701295290749</v>
      </c>
      <c r="C12">
        <f>Tabla4[[#This Row],[ENERGY CONSUMPTION PER VEHICLE]]*H3</f>
        <v>1.2072684479520188</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8.6496000000000013</v>
      </c>
      <c r="B17">
        <f>B4/Tabla5[[#This Row],[LEVEL OF OCCUPANCY]]</f>
        <v>0.70660604518475556</v>
      </c>
      <c r="C17">
        <f>C4/Tabla5[[#This Row],[LEVEL OF OCCUPANCY]]</f>
        <v>0.19183713837186819</v>
      </c>
    </row>
    <row r="18" spans="1:3" x14ac:dyDescent="0.3">
      <c r="A18" s="37">
        <f>'Passenger transport data'!I5</f>
        <v>27.200000000000003</v>
      </c>
      <c r="B18">
        <f>B4/Tabla5[[#This Row],[LEVEL OF OCCUPANCY]]</f>
        <v>0.22470072236875227</v>
      </c>
      <c r="C18">
        <f>C4/Tabla5[[#This Row],[LEVEL OF OCCUPANCY]]</f>
        <v>6.1004210002254089E-2</v>
      </c>
    </row>
    <row r="19" spans="1:3" x14ac:dyDescent="0.3">
      <c r="A19" s="37">
        <f>'Passenger transport data'!J5</f>
        <v>45.750399999999999</v>
      </c>
      <c r="B19">
        <f>B4/Tabla5[[#This Row],[LEVEL OF OCCUPANCY]]</f>
        <v>0.13359139260924632</v>
      </c>
      <c r="C19">
        <f>C4/Tabla5[[#This Row],[LEVEL OF OCCUPANCY]]</f>
        <v>3.6268852557820509E-2</v>
      </c>
    </row>
    <row r="20" spans="1:3" x14ac:dyDescent="0.3">
      <c r="A20" t="s">
        <v>179</v>
      </c>
    </row>
    <row r="21" spans="1:3" x14ac:dyDescent="0.3">
      <c r="A21" s="37">
        <f>A17</f>
        <v>8.6496000000000013</v>
      </c>
      <c r="B21">
        <f>B5/Tabla5[[#This Row],[LEVEL OF OCCUPANCY]]</f>
        <v>0.70660604518475556</v>
      </c>
      <c r="C21">
        <f>C5/Tabla5[[#This Row],[LEVEL OF OCCUPANCY]]</f>
        <v>0.20703557123913338</v>
      </c>
    </row>
    <row r="22" spans="1:3" x14ac:dyDescent="0.3">
      <c r="A22" s="37">
        <f>A18</f>
        <v>27.200000000000003</v>
      </c>
      <c r="B22">
        <f>B5/Tabla5[[#This Row],[LEVEL OF OCCUPANCY]]</f>
        <v>0.22470072236875227</v>
      </c>
      <c r="C22">
        <f>C5/Tabla5[[#This Row],[LEVEL OF OCCUPANCY]]</f>
        <v>6.5837311654044411E-2</v>
      </c>
    </row>
    <row r="23" spans="1:3" x14ac:dyDescent="0.3">
      <c r="A23" s="37">
        <f>A19</f>
        <v>45.750399999999999</v>
      </c>
      <c r="B23">
        <f>B5/Tabla5[[#This Row],[LEVEL OF OCCUPANCY]]</f>
        <v>0.13359139260924632</v>
      </c>
      <c r="C23">
        <f>C5/Tabla5[[#This Row],[LEVEL OF OCCUPANCY]]</f>
        <v>3.9142278034509169E-2</v>
      </c>
    </row>
    <row r="24" spans="1:3" x14ac:dyDescent="0.3">
      <c r="A24" t="s">
        <v>181</v>
      </c>
    </row>
    <row r="25" spans="1:3" x14ac:dyDescent="0.3">
      <c r="A25" s="37">
        <f>A17</f>
        <v>8.6496000000000013</v>
      </c>
      <c r="B25">
        <f>B6/Tabla5[[#This Row],[LEVEL OF OCCUPANCY]]</f>
        <v>0.70660604518475556</v>
      </c>
      <c r="C25">
        <f>C6/Tabla5[[#This Row],[LEVEL OF OCCUPANCY]]</f>
        <v>0.18409426628631204</v>
      </c>
    </row>
    <row r="26" spans="1:3" x14ac:dyDescent="0.3">
      <c r="A26" s="37">
        <f>A18</f>
        <v>27.200000000000003</v>
      </c>
      <c r="B26">
        <f>B6/Tabla5[[#This Row],[LEVEL OF OCCUPANCY]]</f>
        <v>0.22470072236875227</v>
      </c>
      <c r="C26">
        <f>C6/Tabla5[[#This Row],[LEVEL OF OCCUPANCY]]</f>
        <v>5.8541976679047231E-2</v>
      </c>
    </row>
    <row r="27" spans="1:3" x14ac:dyDescent="0.3">
      <c r="A27" s="37">
        <f>A19</f>
        <v>45.750399999999999</v>
      </c>
      <c r="B27">
        <f>B6/Tabla5[[#This Row],[LEVEL OF OCCUPANCY]]</f>
        <v>0.13359139260924632</v>
      </c>
      <c r="C27">
        <f>C6/Tabla5[[#This Row],[LEVEL OF OCCUPANCY]]</f>
        <v>3.4804980189683261E-2</v>
      </c>
    </row>
    <row r="28" spans="1:3" x14ac:dyDescent="0.3">
      <c r="A28" s="37" t="s">
        <v>183</v>
      </c>
    </row>
    <row r="29" spans="1:3" x14ac:dyDescent="0.3">
      <c r="A29" s="37">
        <f>A17</f>
        <v>8.6496000000000013</v>
      </c>
      <c r="B29">
        <f>B8/Tabla5[[#This Row],[LEVEL OF OCCUPANCY]]</f>
        <v>0</v>
      </c>
      <c r="C29">
        <f>C8/Tabla5[[#This Row],[LEVEL OF OCCUPANCY]]</f>
        <v>0</v>
      </c>
    </row>
    <row r="30" spans="1:3" x14ac:dyDescent="0.3">
      <c r="A30" s="37">
        <f>A18</f>
        <v>27.200000000000003</v>
      </c>
      <c r="B30">
        <f>B8/Tabla5[[#This Row],[LEVEL OF OCCUPANCY]]</f>
        <v>0</v>
      </c>
      <c r="C30">
        <f>C8/Tabla5[[#This Row],[LEVEL OF OCCUPANCY]]</f>
        <v>0</v>
      </c>
    </row>
    <row r="31" spans="1:3" x14ac:dyDescent="0.3">
      <c r="A31" s="37">
        <f>A19</f>
        <v>45.750399999999999</v>
      </c>
      <c r="B31">
        <f>B8/Tabla5[[#This Row],[LEVEL OF OCCUPANCY]]</f>
        <v>0</v>
      </c>
      <c r="C31">
        <f>C8/Tabla5[[#This Row],[LEVEL OF OCCUPANCY]]</f>
        <v>0</v>
      </c>
    </row>
    <row r="32" spans="1:3" x14ac:dyDescent="0.3">
      <c r="A32" s="37" t="s">
        <v>191</v>
      </c>
    </row>
    <row r="33" spans="1:3" x14ac:dyDescent="0.3">
      <c r="A33" s="37">
        <f>A17</f>
        <v>8.6496000000000013</v>
      </c>
      <c r="B33">
        <f>B7/Tabla5[[#This Row],[LEVEL OF OCCUPANCY]]</f>
        <v>0.70660604518475556</v>
      </c>
      <c r="C33">
        <f>C7/Tabla5[[#This Row],[LEVEL OF OCCUPANCY]]</f>
        <v>0.19556491876272272</v>
      </c>
    </row>
    <row r="34" spans="1:3" x14ac:dyDescent="0.3">
      <c r="A34" s="37">
        <f>A18</f>
        <v>27.200000000000003</v>
      </c>
      <c r="B34">
        <f>B7/Tabla5[[#This Row],[LEVEL OF OCCUPANCY]]</f>
        <v>0.22470072236875227</v>
      </c>
      <c r="C34">
        <f>C7/Tabla5[[#This Row],[LEVEL OF OCCUPANCY]]</f>
        <v>6.2189644166545828E-2</v>
      </c>
    </row>
    <row r="35" spans="1:3" x14ac:dyDescent="0.3">
      <c r="A35" s="37">
        <f>A19</f>
        <v>45.750399999999999</v>
      </c>
      <c r="B35">
        <f>B7/Tabla5[[#This Row],[LEVEL OF OCCUPANCY]]</f>
        <v>0.13359139260924632</v>
      </c>
      <c r="C35">
        <f>C7/Tabla5[[#This Row],[LEVEL OF OCCUPANCY]]</f>
        <v>3.6973629112096215E-2</v>
      </c>
    </row>
    <row r="36" spans="1:3" x14ac:dyDescent="0.3">
      <c r="A36" t="s">
        <v>185</v>
      </c>
    </row>
    <row r="37" spans="1:3" x14ac:dyDescent="0.3">
      <c r="A37" s="37">
        <f>'Passenger transport data'!H7</f>
        <v>34.244231093144684</v>
      </c>
      <c r="B37">
        <f>B9/Tabla5[[#This Row],[LEVEL OF OCCUPANCY]]</f>
        <v>0.53483067884519142</v>
      </c>
      <c r="C37">
        <f>C9/Tabla5[[#This Row],[LEVEL OF OCCUPANCY]]</f>
        <v>0.1567053889016411</v>
      </c>
    </row>
    <row r="38" spans="1:3" x14ac:dyDescent="0.3">
      <c r="A38" s="37">
        <f>'Passenger transport data'!I7</f>
        <v>107.68626129919713</v>
      </c>
      <c r="B38">
        <f>B9/Tabla5[[#This Row],[LEVEL OF OCCUPANCY]]</f>
        <v>0.17007615587277086</v>
      </c>
      <c r="C38">
        <f>C9/Tabla5[[#This Row],[LEVEL OF OCCUPANCY]]</f>
        <v>4.9832313670721863E-2</v>
      </c>
    </row>
    <row r="39" spans="1:3" x14ac:dyDescent="0.3">
      <c r="A39" s="37">
        <f>'Passenger transport data'!J7</f>
        <v>181.12829150524954</v>
      </c>
      <c r="B39">
        <f>B9/Tabla5[[#This Row],[LEVEL OF OCCUPANCY]]</f>
        <v>0.10111543155337152</v>
      </c>
      <c r="C39">
        <f>C9/Tabla5[[#This Row],[LEVEL OF OCCUPANCY]]</f>
        <v>2.9626821445137855E-2</v>
      </c>
    </row>
    <row r="40" spans="1:3" x14ac:dyDescent="0.3">
      <c r="A40" t="s">
        <v>146</v>
      </c>
    </row>
    <row r="41" spans="1:3" x14ac:dyDescent="0.3">
      <c r="A41" s="37">
        <f>A37</f>
        <v>34.244231093144684</v>
      </c>
      <c r="B41">
        <f>B10/Tabla5[[#This Row],[LEVEL OF OCCUPANCY]]</f>
        <v>0.73496212735175037</v>
      </c>
      <c r="C41">
        <f>C10/Tabla5[[#This Row],[LEVEL OF OCCUPANCY]]</f>
        <v>0.19590564013675205</v>
      </c>
    </row>
    <row r="42" spans="1:3" x14ac:dyDescent="0.3">
      <c r="A42" s="37">
        <f>A38</f>
        <v>107.68626129919713</v>
      </c>
      <c r="B42">
        <f>B10/Tabla5[[#This Row],[LEVEL OF OCCUPANCY]]</f>
        <v>0.23371795649785659</v>
      </c>
      <c r="C42">
        <f>C10/Tabla5[[#This Row],[LEVEL OF OCCUPANCY]]</f>
        <v>6.2297993563487149E-2</v>
      </c>
    </row>
    <row r="43" spans="1:3" x14ac:dyDescent="0.3">
      <c r="A43" s="37">
        <f>A39</f>
        <v>181.12829150524954</v>
      </c>
      <c r="B43">
        <f>B10/Tabla5[[#This Row],[LEVEL OF OCCUPANCY]]</f>
        <v>0.13895241171097303</v>
      </c>
      <c r="C43">
        <f>C10/Tabla5[[#This Row],[LEVEL OF OCCUPANCY]]</f>
        <v>3.7038046113844925E-2</v>
      </c>
    </row>
    <row r="44" spans="1:3" x14ac:dyDescent="0.3">
      <c r="A44" s="37" t="s">
        <v>103</v>
      </c>
    </row>
    <row r="45" spans="1:3" x14ac:dyDescent="0.3">
      <c r="A45" s="37">
        <f>'Passenger transport data'!H8</f>
        <v>0</v>
      </c>
      <c r="B45" t="e">
        <f>B11/Tabla5[[#This Row],[LEVEL OF OCCUPANCY]]</f>
        <v>#DIV/0!</v>
      </c>
      <c r="C45" t="e">
        <f>C11/Tabla5[[#This Row],[LEVEL OF OCCUPANCY]]</f>
        <v>#DIV/0!</v>
      </c>
    </row>
    <row r="46" spans="1:3" x14ac:dyDescent="0.3">
      <c r="A46" s="37">
        <f>'Passenger transport data'!I8</f>
        <v>0</v>
      </c>
      <c r="B46" t="e">
        <f>B11/Tabla5[[#This Row],[LEVEL OF OCCUPANCY]]</f>
        <v>#DIV/0!</v>
      </c>
      <c r="C46" t="e">
        <f>C11/Tabla5[[#This Row],[LEVEL OF OCCUPANCY]]</f>
        <v>#DIV/0!</v>
      </c>
    </row>
    <row r="47" spans="1:3" x14ac:dyDescent="0.3">
      <c r="A47" s="37">
        <f>'Passenger transport data'!J8</f>
        <v>0</v>
      </c>
      <c r="B47" t="e">
        <f>B11/Tabla5[[#This Row],[LEVEL OF OCCUPANCY]]</f>
        <v>#DIV/0!</v>
      </c>
      <c r="C47" t="e">
        <f>C11/Tabla5[[#This Row],[LEVEL OF OCCUPANCY]]</f>
        <v>#DIV/0!</v>
      </c>
    </row>
    <row r="48" spans="1:3" x14ac:dyDescent="0.3">
      <c r="A48" t="s">
        <v>186</v>
      </c>
    </row>
    <row r="49" spans="1:3" x14ac:dyDescent="0.3">
      <c r="A49" s="37">
        <f>'Passenger transport data'!H6</f>
        <v>20.54653865588681</v>
      </c>
      <c r="B49">
        <f>B12/Tabla5[[#This Row],[LEVEL OF OCCUPANCY]]</f>
        <v>0.20053840690818955</v>
      </c>
      <c r="C49">
        <f>C12/Tabla5[[#This Row],[LEVEL OF OCCUPANCY]]</f>
        <v>5.8757753224099533E-2</v>
      </c>
    </row>
    <row r="50" spans="1:3" x14ac:dyDescent="0.3">
      <c r="A50" s="37">
        <f>'Passenger transport data'!I6</f>
        <v>64.611756779518274</v>
      </c>
      <c r="B50">
        <f>B12/Tabla5[[#This Row],[LEVEL OF OCCUPANCY]]</f>
        <v>6.3771213396804277E-2</v>
      </c>
      <c r="C50">
        <f>C12/Tabla5[[#This Row],[LEVEL OF OCCUPANCY]]</f>
        <v>1.868496552526365E-2</v>
      </c>
    </row>
    <row r="51" spans="1:3" x14ac:dyDescent="0.3">
      <c r="A51" s="37">
        <f>'Passenger transport data'!J6</f>
        <v>108.67697490314973</v>
      </c>
      <c r="B51">
        <f>B12/Tabla5[[#This Row],[LEVEL OF OCCUPANCY]]</f>
        <v>3.7913919974318831E-2</v>
      </c>
      <c r="C51">
        <f>C12/Tabla5[[#This Row],[LEVEL OF OCCUPANCY]]</f>
        <v>1.1108778552475418E-2</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7" sqref="C7"/>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23.4</v>
      </c>
      <c r="E2">
        <f>(Tabla1[[#This Row],[% fuel used for buses]]*C10+C3*((C11+C10)/2)+C4*((C12+C13+C14)/3)+C5*C15+C6*C16)/100</f>
        <v>0.27149093852106621</v>
      </c>
      <c r="F2" t="s">
        <v>47</v>
      </c>
    </row>
    <row r="3" spans="2:6" x14ac:dyDescent="0.3">
      <c r="B3" t="s">
        <v>161</v>
      </c>
      <c r="C3">
        <v>32.9</v>
      </c>
    </row>
    <row r="4" spans="2:6" x14ac:dyDescent="0.3">
      <c r="B4" t="s">
        <v>162</v>
      </c>
      <c r="C4">
        <v>0</v>
      </c>
      <c r="E4" t="s">
        <v>163</v>
      </c>
    </row>
    <row r="5" spans="2:6" x14ac:dyDescent="0.3">
      <c r="B5" t="s">
        <v>164</v>
      </c>
      <c r="C5">
        <v>0</v>
      </c>
      <c r="E5">
        <f>(C12+C13+C14)/3</f>
        <v>0.22800000000000001</v>
      </c>
      <c r="F5" t="s">
        <v>47</v>
      </c>
    </row>
    <row r="6" spans="2:6" x14ac:dyDescent="0.3">
      <c r="B6" t="s">
        <v>165</v>
      </c>
      <c r="C6">
        <v>43.7</v>
      </c>
    </row>
    <row r="9" spans="2:6" x14ac:dyDescent="0.3">
      <c r="B9" t="s">
        <v>166</v>
      </c>
      <c r="C9" t="s">
        <v>167</v>
      </c>
    </row>
    <row r="10" spans="2:6" x14ac:dyDescent="0.3">
      <c r="B10" t="s">
        <v>168</v>
      </c>
      <c r="C10">
        <f>'Passenger transport data'!D17</f>
        <v>0.29299999999999998</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2.83*1000/11630</f>
        <v>0.24333619948409285</v>
      </c>
    </row>
    <row r="16" spans="2:6" x14ac:dyDescent="0.3">
      <c r="B16" t="s">
        <v>165</v>
      </c>
      <c r="C16">
        <f>3.03*1000/11630</f>
        <v>0.26053310404127256</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243.33619948409284</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251.98025891954816</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260.53310404127257</v>
      </c>
      <c r="D8" s="22" t="s">
        <v>108</v>
      </c>
      <c r="E8" s="22" t="s">
        <v>147</v>
      </c>
      <c r="F8" s="22">
        <f>BUS!C16*1000</f>
        <v>260.53310404127257</v>
      </c>
      <c r="G8" s="22" t="s">
        <v>108</v>
      </c>
      <c r="H8" s="21" t="s">
        <v>131</v>
      </c>
      <c r="I8" s="22">
        <f>BUS!C10*1000</f>
        <v>293</v>
      </c>
      <c r="J8" s="22" t="s">
        <v>108</v>
      </c>
      <c r="K8" s="43">
        <f>BUS!E2*1000</f>
        <v>271.4909385210662</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6.1118596484300625</v>
      </c>
      <c r="G11" s="82"/>
      <c r="H11" s="30">
        <f>F11/A11</f>
        <v>6.1118596484300625</v>
      </c>
      <c r="I11" s="1">
        <v>0</v>
      </c>
      <c r="J11" s="1">
        <f>I$8*F11</f>
        <v>1790.7748769900084</v>
      </c>
      <c r="K11" s="30">
        <f>J11/A11</f>
        <v>1790.7748769900084</v>
      </c>
    </row>
    <row r="12" spans="1:13" x14ac:dyDescent="0.3">
      <c r="A12" s="18">
        <f>'Passenger transport data'!H5</f>
        <v>8.6496000000000013</v>
      </c>
      <c r="B12" s="1">
        <f>C$7*A12</f>
        <v>691.96800000000007</v>
      </c>
      <c r="C12" s="82">
        <f>I$4*B12/100</f>
        <v>5.8817280000000007E-2</v>
      </c>
      <c r="D12" s="82"/>
      <c r="E12" s="82"/>
      <c r="F12" s="82">
        <f>F$11+C12</f>
        <v>6.1706769284300629</v>
      </c>
      <c r="G12" s="82"/>
      <c r="H12" s="27">
        <f t="shared" ref="H12:H14" si="0">F12/A12</f>
        <v>0.71340604518475559</v>
      </c>
      <c r="I12" s="1">
        <f>I$6*B12</f>
        <v>19.375104</v>
      </c>
      <c r="J12" s="1">
        <f>F12*(I12+J$11)</f>
        <v>11169.85072469316</v>
      </c>
      <c r="K12" s="27">
        <f>J12/A12</f>
        <v>1291.3719391293423</v>
      </c>
    </row>
    <row r="13" spans="1:13" x14ac:dyDescent="0.3">
      <c r="A13" s="18">
        <f>'Passenger transport data'!I5</f>
        <v>27.200000000000003</v>
      </c>
      <c r="B13" s="1">
        <f t="shared" ref="B13:B14" si="1">C$7*A13</f>
        <v>2176</v>
      </c>
      <c r="C13" s="82">
        <f t="shared" ref="C13:C14" si="2">I$4*B13/100</f>
        <v>0.18496000000000001</v>
      </c>
      <c r="D13" s="82"/>
      <c r="E13" s="82"/>
      <c r="F13" s="82">
        <f t="shared" ref="F13:F14" si="3">F$11+C13</f>
        <v>6.2968196484300627</v>
      </c>
      <c r="G13" s="82"/>
      <c r="H13" s="27">
        <f t="shared" si="0"/>
        <v>0.23150072236875227</v>
      </c>
      <c r="I13" s="1">
        <f t="shared" ref="I13:I14" si="4">I$6*B13</f>
        <v>60.927999999999997</v>
      </c>
      <c r="J13" s="1">
        <f>F13*(I13+J$11)</f>
        <v>11659.83905888516</v>
      </c>
      <c r="K13" s="27">
        <f>J13/A13</f>
        <v>428.67055363548377</v>
      </c>
    </row>
    <row r="14" spans="1:13" x14ac:dyDescent="0.3">
      <c r="A14" s="18">
        <f>'Passenger transport data'!J5</f>
        <v>45.750399999999999</v>
      </c>
      <c r="B14" s="1">
        <f t="shared" si="1"/>
        <v>3660.0320000000002</v>
      </c>
      <c r="C14" s="82">
        <f t="shared" si="2"/>
        <v>0.31110272</v>
      </c>
      <c r="D14" s="82"/>
      <c r="E14" s="82"/>
      <c r="F14" s="82">
        <f t="shared" si="3"/>
        <v>6.4229623684300625</v>
      </c>
      <c r="G14" s="82"/>
      <c r="H14" s="27">
        <f t="shared" si="0"/>
        <v>0.14039139260924632</v>
      </c>
      <c r="I14" s="1">
        <f t="shared" si="4"/>
        <v>102.48089599999999</v>
      </c>
      <c r="J14" s="1">
        <f>F14*(I14+J$11)</f>
        <v>12160.310583727793</v>
      </c>
      <c r="K14" s="27">
        <f>J14/A14</f>
        <v>265.79681453556236</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6.1118596484300625</v>
      </c>
      <c r="G16" s="82"/>
      <c r="H16" s="30">
        <f>F16/A16</f>
        <v>6.1118596484300625</v>
      </c>
      <c r="I16" s="1">
        <v>0</v>
      </c>
      <c r="J16" s="1">
        <f>F16*(0.5*C$8+0.5*I$8)</f>
        <v>1691.5583213300465</v>
      </c>
      <c r="K16" s="30">
        <f>J16/A16</f>
        <v>1691.5583213300465</v>
      </c>
    </row>
    <row r="17" spans="1:11" x14ac:dyDescent="0.3">
      <c r="A17" s="18">
        <f>'Passenger transport data'!H5</f>
        <v>8.6496000000000013</v>
      </c>
      <c r="B17" s="1">
        <f>C$7*A17</f>
        <v>691.96800000000007</v>
      </c>
      <c r="C17" s="76">
        <f>B17*(0.5*I$4+0.5*C$5)/100</f>
        <v>0.16780224000000005</v>
      </c>
      <c r="D17" s="77"/>
      <c r="E17" s="78"/>
      <c r="F17" s="76">
        <f>F$16+C17</f>
        <v>6.2796618884300628</v>
      </c>
      <c r="G17" s="78"/>
      <c r="H17" s="27">
        <f>F17/A17</f>
        <v>0.72600604518475553</v>
      </c>
      <c r="I17" s="1">
        <f>B17*(0.5*C$6+0.5*I$6)/100</f>
        <v>0.44285952000000006</v>
      </c>
      <c r="J17" s="1">
        <f>F17*(I17+J$16)</f>
        <v>10625.195330562699</v>
      </c>
      <c r="K17" s="27">
        <f>J17/A17</f>
        <v>1228.4030857568787</v>
      </c>
    </row>
    <row r="18" spans="1:11" x14ac:dyDescent="0.3">
      <c r="A18" s="18">
        <f>'Passenger transport data'!I5</f>
        <v>27.200000000000003</v>
      </c>
      <c r="B18" s="1">
        <f t="shared" ref="B18:B19" si="5">C$7*A18</f>
        <v>2176</v>
      </c>
      <c r="C18" s="76">
        <f t="shared" ref="C18:C19" si="6">B18*(0.5*I$4+0.5*C$5)/100</f>
        <v>0.52768000000000004</v>
      </c>
      <c r="D18" s="77"/>
      <c r="E18" s="78"/>
      <c r="F18" s="76">
        <f t="shared" ref="F18:F19" si="7">F$16+C18</f>
        <v>6.6395396484300626</v>
      </c>
      <c r="G18" s="78"/>
      <c r="H18" s="27">
        <f t="shared" ref="H18:H19" si="8">F18/A18</f>
        <v>0.24410072236875227</v>
      </c>
      <c r="I18" s="1">
        <f t="shared" ref="I18:I19" si="9">B18*(0.5*C$6+0.5*I$6)/100</f>
        <v>1.3926400000000001</v>
      </c>
      <c r="J18" s="1">
        <f t="shared" ref="J18:J19" si="10">F18*(I18+J$16)</f>
        <v>11240.415030598633</v>
      </c>
      <c r="K18" s="27">
        <f t="shared" ref="K18:K19" si="11">J18/A18</f>
        <v>413.25055259553795</v>
      </c>
    </row>
    <row r="19" spans="1:11" x14ac:dyDescent="0.3">
      <c r="A19" s="18">
        <f>'Passenger transport data'!J5</f>
        <v>45.750399999999999</v>
      </c>
      <c r="B19" s="1">
        <f t="shared" si="5"/>
        <v>3660.0320000000002</v>
      </c>
      <c r="C19" s="76">
        <f t="shared" si="6"/>
        <v>0.88755776000000008</v>
      </c>
      <c r="D19" s="77"/>
      <c r="E19" s="78"/>
      <c r="F19" s="76">
        <f t="shared" si="7"/>
        <v>6.9994174084300624</v>
      </c>
      <c r="G19" s="78"/>
      <c r="H19" s="27">
        <f t="shared" si="8"/>
        <v>0.15299139260924632</v>
      </c>
      <c r="I19" s="1">
        <f t="shared" si="9"/>
        <v>2.3424204799999999</v>
      </c>
      <c r="J19" s="1">
        <f t="shared" si="10"/>
        <v>11856.318340377837</v>
      </c>
      <c r="K19" s="27">
        <f t="shared" si="11"/>
        <v>259.15223343135443</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6.1118596484300625</v>
      </c>
      <c r="G21" s="82"/>
      <c r="H21" s="30">
        <f>F21/A21</f>
        <v>6.1118596484300625</v>
      </c>
      <c r="I21" s="1">
        <v>0</v>
      </c>
      <c r="J21" s="1">
        <f>F21*K$6</f>
        <v>1393.5039998420543</v>
      </c>
      <c r="K21" s="30">
        <f>J21/A21</f>
        <v>1393.5039998420543</v>
      </c>
    </row>
    <row r="22" spans="1:11" x14ac:dyDescent="0.3">
      <c r="A22" s="18">
        <f>'Passenger transport data'!H5</f>
        <v>8.6496000000000013</v>
      </c>
      <c r="B22" s="1">
        <f>C$7*A22</f>
        <v>691.96800000000007</v>
      </c>
      <c r="C22" s="76">
        <f>B22*C$5/100</f>
        <v>0.27678720000000001</v>
      </c>
      <c r="D22" s="77"/>
      <c r="E22" s="78"/>
      <c r="F22" s="79">
        <f>F$21+C22</f>
        <v>6.3886468484300627</v>
      </c>
      <c r="G22" s="80"/>
      <c r="H22" s="27">
        <f t="shared" ref="H22:H24" si="12">F22/A22</f>
        <v>0.73860604518475559</v>
      </c>
      <c r="I22" s="1">
        <f>C$6*B22</f>
        <v>69.19680000000001</v>
      </c>
      <c r="J22" s="1">
        <f>F22*(I22+J$21)</f>
        <v>9344.6788551070713</v>
      </c>
      <c r="K22" s="27">
        <f t="shared" ref="K22:K24" si="13">J22/A22</f>
        <v>1080.3596530599184</v>
      </c>
    </row>
    <row r="23" spans="1:11" x14ac:dyDescent="0.3">
      <c r="A23" s="18">
        <f>'Passenger transport data'!I5</f>
        <v>27.200000000000003</v>
      </c>
      <c r="B23" s="1">
        <f t="shared" ref="B23:B24" si="14">C$7*A23</f>
        <v>2176</v>
      </c>
      <c r="C23" s="76">
        <f t="shared" ref="C23:C24" si="15">B23*C$5/100</f>
        <v>0.87040000000000006</v>
      </c>
      <c r="D23" s="77"/>
      <c r="E23" s="78"/>
      <c r="F23" s="76">
        <f>F$21+C23</f>
        <v>6.9822596484300625</v>
      </c>
      <c r="G23" s="78"/>
      <c r="H23" s="27">
        <f t="shared" si="12"/>
        <v>0.2567007223687523</v>
      </c>
      <c r="I23" s="1">
        <f t="shared" ref="I23:I24" si="16">C$6*B23</f>
        <v>217.60000000000002</v>
      </c>
      <c r="J23" s="1">
        <f t="shared" ref="J23:J24" si="17">F23*(I23+J$21)</f>
        <v>11249.146447521449</v>
      </c>
      <c r="K23" s="27">
        <f t="shared" si="13"/>
        <v>413.57156057064145</v>
      </c>
    </row>
    <row r="24" spans="1:11" x14ac:dyDescent="0.3">
      <c r="A24" s="18">
        <f>'Passenger transport data'!J5</f>
        <v>45.750399999999999</v>
      </c>
      <c r="B24" s="1">
        <f t="shared" si="14"/>
        <v>3660.0320000000002</v>
      </c>
      <c r="C24" s="76">
        <f t="shared" si="15"/>
        <v>1.4640128000000001</v>
      </c>
      <c r="D24" s="77"/>
      <c r="E24" s="78"/>
      <c r="F24" s="76">
        <f t="shared" ref="F24" si="18">F$21+C24</f>
        <v>7.5758724484300624</v>
      </c>
      <c r="G24" s="78"/>
      <c r="H24" s="27">
        <f t="shared" si="12"/>
        <v>0.16559139260924632</v>
      </c>
      <c r="I24" s="1">
        <f t="shared" si="16"/>
        <v>366.00320000000005</v>
      </c>
      <c r="J24" s="1">
        <f t="shared" si="17"/>
        <v>13329.802118097748</v>
      </c>
      <c r="K24" s="27">
        <f t="shared" si="13"/>
        <v>291.35924752784126</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6.1118596484300625</v>
      </c>
      <c r="G26" s="82"/>
      <c r="H26" s="30">
        <f>F26/A26</f>
        <v>6.1118596484300625</v>
      </c>
      <c r="I26" s="1">
        <v>0</v>
      </c>
      <c r="J26" s="1">
        <f>C$8*F26</f>
        <v>1592.3417656700851</v>
      </c>
      <c r="K26" s="30">
        <f>J26/A26</f>
        <v>1592.3417656700851</v>
      </c>
    </row>
    <row r="27" spans="1:11" x14ac:dyDescent="0.3">
      <c r="A27" s="18">
        <f>'Passenger transport data'!H5</f>
        <v>8.6496000000000013</v>
      </c>
      <c r="B27" s="1">
        <f>C$7*A27</f>
        <v>691.96800000000007</v>
      </c>
      <c r="C27" s="76">
        <f>B27*C$5/100</f>
        <v>0.27678720000000001</v>
      </c>
      <c r="D27" s="77"/>
      <c r="E27" s="78"/>
      <c r="F27" s="79">
        <f>F$26+C27</f>
        <v>6.3886468484300627</v>
      </c>
      <c r="G27" s="80"/>
      <c r="H27" s="27">
        <f>F27/A27</f>
        <v>0.73860604518475559</v>
      </c>
      <c r="I27" s="1">
        <f>C$6*B27</f>
        <v>69.19680000000001</v>
      </c>
      <c r="J27" s="1">
        <f>F27*(I27+J$26)</f>
        <v>10614.983121113195</v>
      </c>
      <c r="K27" s="27">
        <f>J27/A27</f>
        <v>1227.2224289115327</v>
      </c>
    </row>
    <row r="28" spans="1:11" x14ac:dyDescent="0.3">
      <c r="A28" s="18">
        <f>'Passenger transport data'!I5</f>
        <v>27.200000000000003</v>
      </c>
      <c r="B28" s="1">
        <f t="shared" ref="B28:B29" si="19">C$7*A28</f>
        <v>2176</v>
      </c>
      <c r="C28" s="76">
        <f t="shared" ref="C28:C29" si="20">B28*C$5/100</f>
        <v>0.87040000000000006</v>
      </c>
      <c r="D28" s="77"/>
      <c r="E28" s="78"/>
      <c r="F28" s="79">
        <f t="shared" ref="F28:F29" si="21">F$26+C28</f>
        <v>6.9822596484300625</v>
      </c>
      <c r="G28" s="80"/>
      <c r="H28" s="27">
        <f t="shared" ref="H28:H29" si="22">F28/A28</f>
        <v>0.2567007223687523</v>
      </c>
      <c r="I28" s="1">
        <f t="shared" ref="I28:I29" si="23">C$6*B28</f>
        <v>217.60000000000002</v>
      </c>
      <c r="J28" s="1">
        <f t="shared" ref="J28:J29" si="24">F28*(I28+J$26)</f>
        <v>12637.483356446495</v>
      </c>
      <c r="K28" s="27">
        <f t="shared" ref="K28:K29" si="25">J28/A28</f>
        <v>464.61335869288581</v>
      </c>
    </row>
    <row r="29" spans="1:11" x14ac:dyDescent="0.3">
      <c r="A29" s="18">
        <f>'Passenger transport data'!J5</f>
        <v>45.750399999999999</v>
      </c>
      <c r="B29" s="1">
        <f t="shared" si="19"/>
        <v>3660.0320000000002</v>
      </c>
      <c r="C29" s="76">
        <f t="shared" si="20"/>
        <v>1.4640128000000001</v>
      </c>
      <c r="D29" s="77"/>
      <c r="E29" s="78"/>
      <c r="F29" s="79">
        <f t="shared" si="21"/>
        <v>7.5758724484300624</v>
      </c>
      <c r="G29" s="80"/>
      <c r="H29" s="27">
        <f t="shared" si="22"/>
        <v>0.16559139260924632</v>
      </c>
      <c r="I29" s="1">
        <f t="shared" si="23"/>
        <v>366.00320000000005</v>
      </c>
      <c r="J29" s="1">
        <f t="shared" si="24"/>
        <v>14836.171669941716</v>
      </c>
      <c r="K29" s="27">
        <f t="shared" si="25"/>
        <v>324.2850700746161</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6.1118596484300625</v>
      </c>
      <c r="G31" s="82"/>
      <c r="H31" s="30">
        <f>F31/A31</f>
        <v>6.1118596484300625</v>
      </c>
      <c r="I31" s="1">
        <v>0</v>
      </c>
      <c r="J31" s="1">
        <f>K$8*F31</f>
        <v>1659.3145120613115</v>
      </c>
      <c r="K31" s="30">
        <f>J31/A31</f>
        <v>1659.3145120613115</v>
      </c>
    </row>
    <row r="32" spans="1:11" x14ac:dyDescent="0.3">
      <c r="A32" s="18">
        <f>'Passenger transport data'!H5</f>
        <v>8.6496000000000013</v>
      </c>
      <c r="B32" s="1">
        <f>C$7*A32</f>
        <v>691.96800000000007</v>
      </c>
      <c r="C32" s="76">
        <f>B32*C$5/100</f>
        <v>0.27678720000000001</v>
      </c>
      <c r="D32" s="77"/>
      <c r="E32" s="78"/>
      <c r="F32" s="79">
        <f>F$31+C32</f>
        <v>6.3886468484300627</v>
      </c>
      <c r="G32" s="80"/>
      <c r="H32" s="27">
        <f>F32/A32</f>
        <v>0.73860604518475559</v>
      </c>
      <c r="I32" s="1">
        <f>C$6*B32</f>
        <v>69.19680000000001</v>
      </c>
      <c r="J32" s="1">
        <f>F32*(I32+J$31)</f>
        <v>11042.848346276211</v>
      </c>
      <c r="K32" s="27">
        <f t="shared" ref="K32:K34" si="26">J32/A32</f>
        <v>1276.6889042587181</v>
      </c>
    </row>
    <row r="33" spans="1:11" x14ac:dyDescent="0.3">
      <c r="A33" s="18">
        <f>'Passenger transport data'!I5</f>
        <v>27.200000000000003</v>
      </c>
      <c r="B33" s="1">
        <f t="shared" ref="B33:B34" si="27">C$7*A33</f>
        <v>2176</v>
      </c>
      <c r="C33" s="76">
        <f t="shared" ref="C33:C34" si="28">B33*C$5/100</f>
        <v>0.87040000000000006</v>
      </c>
      <c r="D33" s="77"/>
      <c r="E33" s="78"/>
      <c r="F33" s="79">
        <f t="shared" ref="F33:F34" si="29">F$31+C33</f>
        <v>6.9822596484300625</v>
      </c>
      <c r="G33" s="80"/>
      <c r="H33" s="27">
        <f t="shared" ref="H33:H34" si="30">F33/A33</f>
        <v>0.2567007223687523</v>
      </c>
      <c r="I33" s="1">
        <f t="shared" ref="I33:I34" si="31">C$6*B33</f>
        <v>217.60000000000002</v>
      </c>
      <c r="J33" s="1">
        <f t="shared" ref="J33:J34" si="32">F33*(I33+J$31)</f>
        <v>13105.104461118495</v>
      </c>
      <c r="K33" s="27">
        <f t="shared" si="26"/>
        <v>481.80531107053287</v>
      </c>
    </row>
    <row r="34" spans="1:11" x14ac:dyDescent="0.3">
      <c r="A34" s="18">
        <f>'Passenger transport data'!J5</f>
        <v>45.750399999999999</v>
      </c>
      <c r="B34" s="1">
        <f t="shared" si="27"/>
        <v>3660.0320000000002</v>
      </c>
      <c r="C34" s="76">
        <f t="shared" si="28"/>
        <v>1.4640128000000001</v>
      </c>
      <c r="D34" s="77"/>
      <c r="E34" s="78"/>
      <c r="F34" s="79">
        <f t="shared" si="29"/>
        <v>7.5758724484300624</v>
      </c>
      <c r="G34" s="80"/>
      <c r="H34" s="27">
        <f t="shared" si="30"/>
        <v>0.16559139260924632</v>
      </c>
      <c r="I34" s="1">
        <f t="shared" si="31"/>
        <v>366.00320000000005</v>
      </c>
      <c r="J34" s="1">
        <f t="shared" si="32"/>
        <v>15343.5486541227</v>
      </c>
      <c r="K34" s="27">
        <f t="shared" si="26"/>
        <v>335.3751804164051</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251.98025891954816</v>
      </c>
      <c r="D8" s="22" t="s">
        <v>108</v>
      </c>
      <c r="E8" s="22" t="s">
        <v>147</v>
      </c>
      <c r="F8" s="22">
        <f>'Passenger transport data'!D15*10^3</f>
        <v>266.55202063628548</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0.72360626705724718</v>
      </c>
      <c r="G11" s="98"/>
      <c r="H11" s="27">
        <f>F11/A11</f>
        <v>0.72360626705724718</v>
      </c>
      <c r="I11" s="1">
        <v>0</v>
      </c>
      <c r="J11" s="1">
        <f>C$8*F11</f>
        <v>182.33449452889286</v>
      </c>
      <c r="K11" s="27">
        <f>J11/A11</f>
        <v>182.33449452889286</v>
      </c>
    </row>
    <row r="12" spans="1:11" x14ac:dyDescent="0.3">
      <c r="A12" s="1">
        <v>2</v>
      </c>
      <c r="B12" s="1">
        <f>B11+C$7</f>
        <v>80</v>
      </c>
      <c r="C12" s="82">
        <f>C$5*B12/100</f>
        <v>3.2000000000000001E-2</v>
      </c>
      <c r="D12" s="82"/>
      <c r="E12" s="82"/>
      <c r="F12" s="82">
        <f>F$11+C12</f>
        <v>0.75560626705724721</v>
      </c>
      <c r="G12" s="82"/>
      <c r="H12" s="27">
        <f t="shared" ref="H12:H15" si="0">F12/A12</f>
        <v>0.3778031335286236</v>
      </c>
      <c r="I12" s="1">
        <f>C$6*B12</f>
        <v>8</v>
      </c>
      <c r="J12" s="1">
        <f>F12*(I12+J$11)</f>
        <v>143.81793690320478</v>
      </c>
      <c r="K12" s="27">
        <f t="shared" ref="K12:K15" si="1">J12/A12</f>
        <v>71.908968451602391</v>
      </c>
    </row>
    <row r="13" spans="1:11" x14ac:dyDescent="0.3">
      <c r="A13" s="1">
        <v>3</v>
      </c>
      <c r="B13" s="1">
        <f t="shared" ref="B13:B15" si="2">B12+C$7</f>
        <v>160</v>
      </c>
      <c r="C13" s="82">
        <f>C$5*B13/100</f>
        <v>6.4000000000000001E-2</v>
      </c>
      <c r="D13" s="82"/>
      <c r="E13" s="82"/>
      <c r="F13" s="82">
        <f t="shared" ref="F13:F15" si="3">F$11+C13</f>
        <v>0.78760626705724723</v>
      </c>
      <c r="G13" s="82"/>
      <c r="H13" s="27">
        <f t="shared" si="0"/>
        <v>0.26253542235241573</v>
      </c>
      <c r="I13" s="1">
        <f t="shared" ref="I13:I15" si="4">C$6*B13</f>
        <v>16</v>
      </c>
      <c r="J13" s="1">
        <f t="shared" ref="J13:J15" si="5">F13*(I13+J$11)</f>
        <v>156.20949086458734</v>
      </c>
      <c r="K13" s="27">
        <f t="shared" si="1"/>
        <v>52.069830288195782</v>
      </c>
    </row>
    <row r="14" spans="1:11" x14ac:dyDescent="0.3">
      <c r="A14" s="1">
        <v>4</v>
      </c>
      <c r="B14" s="1">
        <f t="shared" si="2"/>
        <v>240</v>
      </c>
      <c r="C14" s="82">
        <f>C$5*B14/100</f>
        <v>9.6000000000000002E-2</v>
      </c>
      <c r="D14" s="82"/>
      <c r="E14" s="82"/>
      <c r="F14" s="82">
        <f t="shared" si="3"/>
        <v>0.81960626705724715</v>
      </c>
      <c r="G14" s="82"/>
      <c r="H14" s="27">
        <f t="shared" si="0"/>
        <v>0.20490156676431179</v>
      </c>
      <c r="I14" s="1">
        <f t="shared" si="4"/>
        <v>24</v>
      </c>
      <c r="J14" s="1">
        <f t="shared" si="5"/>
        <v>169.11304482596987</v>
      </c>
      <c r="K14" s="27">
        <f t="shared" si="1"/>
        <v>42.278261206492466</v>
      </c>
    </row>
    <row r="15" spans="1:11" x14ac:dyDescent="0.3">
      <c r="A15" s="1">
        <v>5</v>
      </c>
      <c r="B15" s="1">
        <f t="shared" si="2"/>
        <v>320</v>
      </c>
      <c r="C15" s="82">
        <f>C$5*B15/100</f>
        <v>0.128</v>
      </c>
      <c r="D15" s="82"/>
      <c r="E15" s="82"/>
      <c r="F15" s="82">
        <f t="shared" si="3"/>
        <v>0.85160626705724718</v>
      </c>
      <c r="G15" s="82"/>
      <c r="H15" s="27">
        <f t="shared" si="0"/>
        <v>0.17032125341144944</v>
      </c>
      <c r="I15" s="1">
        <f t="shared" si="4"/>
        <v>32</v>
      </c>
      <c r="J15" s="1">
        <f t="shared" si="5"/>
        <v>182.52859878735242</v>
      </c>
      <c r="K15" s="27">
        <f t="shared" si="1"/>
        <v>36.505719757470487</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0.41839222592013747</v>
      </c>
      <c r="G17" s="98"/>
      <c r="H17" s="27">
        <f>F17/A17</f>
        <v>0.41839222592013747</v>
      </c>
      <c r="I17" s="1">
        <v>0</v>
      </c>
      <c r="J17" s="1">
        <f>C$8*F17</f>
        <v>105.42658141728234</v>
      </c>
      <c r="K17" s="27">
        <f>J17/A17</f>
        <v>105.42658141728234</v>
      </c>
    </row>
    <row r="18" spans="1:11" x14ac:dyDescent="0.3">
      <c r="A18" s="1">
        <v>2</v>
      </c>
      <c r="B18" s="1">
        <f>C7+B17</f>
        <v>80</v>
      </c>
      <c r="C18" s="82">
        <f>C$5*B18/100</f>
        <v>3.2000000000000001E-2</v>
      </c>
      <c r="D18" s="82"/>
      <c r="E18" s="82"/>
      <c r="F18" s="82">
        <f>F17+C18</f>
        <v>0.4503922259201375</v>
      </c>
      <c r="G18" s="82"/>
      <c r="H18" s="27">
        <f>F18/A18</f>
        <v>0.22519611296006875</v>
      </c>
      <c r="I18" s="1">
        <f>C6*B18</f>
        <v>8</v>
      </c>
      <c r="J18" s="1">
        <f>F18*(I18+J17)</f>
        <v>51.086450483041496</v>
      </c>
      <c r="K18" s="27">
        <f>J18/A18</f>
        <v>25.543225241520748</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6.1118596484300625</v>
      </c>
      <c r="G20" s="95"/>
      <c r="H20" s="30">
        <f>F20/A20</f>
        <v>6.1118596484300625</v>
      </c>
      <c r="I20" s="1">
        <v>0</v>
      </c>
      <c r="J20" s="1">
        <f>C$8*F20</f>
        <v>1540.0679766913458</v>
      </c>
      <c r="K20" s="1">
        <f>J20/A20</f>
        <v>1540.0679766913458</v>
      </c>
    </row>
    <row r="21" spans="1:11" x14ac:dyDescent="0.3">
      <c r="A21" s="18">
        <f>'Passenger transport data'!H5</f>
        <v>8.6496000000000013</v>
      </c>
      <c r="B21" s="1">
        <f>C$7*A21</f>
        <v>691.96800000000007</v>
      </c>
      <c r="C21" s="76">
        <f>B21*C$5/100</f>
        <v>0.27678720000000001</v>
      </c>
      <c r="D21" s="77"/>
      <c r="E21" s="78"/>
      <c r="F21" s="96">
        <f>F$20+C21</f>
        <v>6.3886468484300627</v>
      </c>
      <c r="G21" s="97"/>
      <c r="H21" s="27">
        <f t="shared" ref="H21:H23" si="6">F21/A21</f>
        <v>0.73860604518475559</v>
      </c>
      <c r="I21" s="1">
        <f>C$6*B21</f>
        <v>69.19680000000001</v>
      </c>
      <c r="J21" s="1">
        <f>F21*(I21+J$20)</f>
        <v>10281.024343898674</v>
      </c>
      <c r="K21" s="27">
        <f t="shared" ref="K21:K23" si="7">J21/A21</f>
        <v>1188.6126923671236</v>
      </c>
    </row>
    <row r="22" spans="1:11" x14ac:dyDescent="0.3">
      <c r="A22" s="18">
        <f>'Passenger transport data'!I5</f>
        <v>27.200000000000003</v>
      </c>
      <c r="B22" s="1">
        <f t="shared" ref="B22:B23" si="8">C$7*A22</f>
        <v>2176</v>
      </c>
      <c r="C22" s="76">
        <f t="shared" ref="C22:C23" si="9">B22*C$5/100</f>
        <v>0.87040000000000006</v>
      </c>
      <c r="D22" s="77"/>
      <c r="E22" s="78"/>
      <c r="F22" s="76">
        <f>F$20+C22</f>
        <v>6.9822596484300625</v>
      </c>
      <c r="G22" s="78"/>
      <c r="H22" s="27">
        <f t="shared" si="6"/>
        <v>0.2567007223687523</v>
      </c>
      <c r="I22" s="1">
        <f t="shared" ref="I22:I23" si="10">C$6*B22</f>
        <v>217.60000000000002</v>
      </c>
      <c r="J22" s="1">
        <f t="shared" ref="J22:J23" si="11">F22*(I22+J$20)</f>
        <v>12272.494188989695</v>
      </c>
      <c r="K22" s="27">
        <f t="shared" si="7"/>
        <v>451.19463930109168</v>
      </c>
    </row>
    <row r="23" spans="1:11" x14ac:dyDescent="0.3">
      <c r="A23" s="18">
        <f>'Passenger transport data'!J5</f>
        <v>45.750399999999999</v>
      </c>
      <c r="B23" s="1">
        <f t="shared" si="8"/>
        <v>3660.0320000000002</v>
      </c>
      <c r="C23" s="76">
        <f t="shared" si="9"/>
        <v>1.4640128000000001</v>
      </c>
      <c r="D23" s="77"/>
      <c r="E23" s="78"/>
      <c r="F23" s="76">
        <f t="shared" ref="F23" si="12">F$20+C23</f>
        <v>7.5758724484300624</v>
      </c>
      <c r="G23" s="78"/>
      <c r="H23" s="27">
        <f t="shared" si="6"/>
        <v>0.16559139260924632</v>
      </c>
      <c r="I23" s="1">
        <f t="shared" si="10"/>
        <v>366.00320000000005</v>
      </c>
      <c r="J23" s="1">
        <f t="shared" si="11"/>
        <v>14440.152112242637</v>
      </c>
      <c r="K23" s="27">
        <f t="shared" si="7"/>
        <v>315.62898056066473</v>
      </c>
    </row>
    <row r="24" spans="1:11" x14ac:dyDescent="0.3">
      <c r="A24" t="s">
        <v>146</v>
      </c>
    </row>
    <row r="25" spans="1:11" x14ac:dyDescent="0.3">
      <c r="A25">
        <v>1</v>
      </c>
      <c r="B25" s="1">
        <v>0</v>
      </c>
      <c r="C25" s="76">
        <f>B25*C$5/100</f>
        <v>0</v>
      </c>
      <c r="D25" s="77"/>
      <c r="E25" s="78"/>
      <c r="F25" s="76">
        <f>'[3]Passenger transport data'!D25</f>
        <v>19.224390000000003</v>
      </c>
      <c r="G25" s="78"/>
      <c r="H25" s="30">
        <f>F25/A25</f>
        <v>19.224390000000003</v>
      </c>
      <c r="I25" s="1">
        <v>0</v>
      </c>
      <c r="J25" s="1">
        <f>F$8*F25</f>
        <v>5124.3000000000011</v>
      </c>
      <c r="K25" s="30">
        <f>J25/A25</f>
        <v>5124.3000000000011</v>
      </c>
    </row>
    <row r="26" spans="1:11" x14ac:dyDescent="0.3">
      <c r="A26" s="37">
        <f>'Passenger transport data'!H7</f>
        <v>34.244231093144684</v>
      </c>
      <c r="B26" s="1">
        <f>C$7*A26</f>
        <v>2739.5384874515748</v>
      </c>
      <c r="C26" s="76">
        <f>B26*C$5/100</f>
        <v>1.09581539498063</v>
      </c>
      <c r="D26" s="77"/>
      <c r="E26" s="78"/>
      <c r="F26" s="79">
        <f>F$25+C26</f>
        <v>20.320205394980633</v>
      </c>
      <c r="G26" s="80"/>
      <c r="H26" s="27">
        <f t="shared" ref="H26:H28" si="13">F26/A26</f>
        <v>0.59339061635548052</v>
      </c>
      <c r="I26" s="1">
        <f>C$6*B26</f>
        <v>273.95384874515747</v>
      </c>
      <c r="J26" s="1">
        <f>F26*(I26+J$25)</f>
        <v>109693.62698074632</v>
      </c>
      <c r="K26" s="27">
        <f t="shared" ref="K26:K28" si="14">J26/A26</f>
        <v>3203.2731785502338</v>
      </c>
    </row>
    <row r="27" spans="1:11" x14ac:dyDescent="0.3">
      <c r="A27" s="37">
        <f>'Passenger transport data'!I7</f>
        <v>107.68626129919713</v>
      </c>
      <c r="B27" s="1">
        <f t="shared" ref="B27" si="15">C$7*A27</f>
        <v>8614.9009039357697</v>
      </c>
      <c r="C27" s="76">
        <f t="shared" ref="C27:C28" si="16">B27*C$5/100</f>
        <v>3.4459603615743077</v>
      </c>
      <c r="D27" s="77"/>
      <c r="E27" s="78"/>
      <c r="F27" s="79">
        <f t="shared" ref="F27:F28" si="17">F$25+C27</f>
        <v>22.670350361574311</v>
      </c>
      <c r="G27" s="80"/>
      <c r="H27" s="27">
        <f t="shared" si="13"/>
        <v>0.21052221600104279</v>
      </c>
      <c r="I27" s="1">
        <f t="shared" ref="I27" si="18">C$6*B27</f>
        <v>861.49009039357702</v>
      </c>
      <c r="J27" s="1">
        <f t="shared" ref="J27:J28" si="19">F27*(I27+J$25)</f>
        <v>135699.95854006198</v>
      </c>
      <c r="K27" s="27">
        <f t="shared" si="14"/>
        <v>1260.1417943467382</v>
      </c>
    </row>
    <row r="28" spans="1:11" x14ac:dyDescent="0.3">
      <c r="A28" s="37">
        <f>'Passenger transport data'!J7</f>
        <v>181.12829150524954</v>
      </c>
      <c r="B28" s="1">
        <f>C$7*A28</f>
        <v>14490.263320419963</v>
      </c>
      <c r="C28" s="76">
        <f t="shared" si="16"/>
        <v>5.796105328167986</v>
      </c>
      <c r="D28" s="77"/>
      <c r="E28" s="78"/>
      <c r="F28" s="79">
        <f t="shared" si="17"/>
        <v>25.020495328167989</v>
      </c>
      <c r="G28" s="80"/>
      <c r="H28" s="27">
        <f t="shared" si="13"/>
        <v>0.13813687039301001</v>
      </c>
      <c r="I28" s="1">
        <f>C$6*B28</f>
        <v>1449.0263320419963</v>
      </c>
      <c r="J28" s="1">
        <f t="shared" si="19"/>
        <v>164467.88078138043</v>
      </c>
      <c r="K28" s="27">
        <f t="shared" si="14"/>
        <v>908.01872758024524</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251.98025891954816</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293</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0.32012183055793586</v>
      </c>
      <c r="G11" s="98"/>
      <c r="H11" s="27">
        <f>F11/A11</f>
        <v>0.32012183055793586</v>
      </c>
      <c r="I11" s="1">
        <v>0</v>
      </c>
      <c r="J11" s="1">
        <f>C$8*F11</f>
        <v>93.795696353475208</v>
      </c>
      <c r="K11" s="27">
        <f>J11/A11</f>
        <v>93.795696353475208</v>
      </c>
    </row>
    <row r="12" spans="1:11" x14ac:dyDescent="0.3">
      <c r="A12" s="1">
        <v>2</v>
      </c>
      <c r="B12" s="1">
        <f>B11+C$7</f>
        <v>70</v>
      </c>
      <c r="C12" s="82">
        <f t="shared" ref="C12:C15" si="0">C$4*B12/100</f>
        <v>5.9500000000000004E-3</v>
      </c>
      <c r="D12" s="82"/>
      <c r="E12" s="82"/>
      <c r="F12" s="82">
        <f>F$11+C12</f>
        <v>0.32607183055793587</v>
      </c>
      <c r="G12" s="82"/>
      <c r="H12" s="27">
        <f t="shared" ref="H12:H15" si="1">F12/A12</f>
        <v>0.16303591527896794</v>
      </c>
      <c r="I12" s="1">
        <f>C$6*B12</f>
        <v>1.9599999999999997</v>
      </c>
      <c r="J12" s="1">
        <f>F12*(I12+J$11)</f>
        <v>31.223235196327522</v>
      </c>
      <c r="K12" s="27">
        <f t="shared" ref="K12:K15" si="2">J12/A12</f>
        <v>15.611617598163761</v>
      </c>
    </row>
    <row r="13" spans="1:11" x14ac:dyDescent="0.3">
      <c r="A13" s="1">
        <v>3</v>
      </c>
      <c r="B13" s="1">
        <f t="shared" ref="B13:B15" si="3">B12+C$7</f>
        <v>140</v>
      </c>
      <c r="C13" s="82">
        <f t="shared" si="0"/>
        <v>1.1900000000000001E-2</v>
      </c>
      <c r="D13" s="82"/>
      <c r="E13" s="82"/>
      <c r="F13" s="82">
        <f t="shared" ref="F13:F15" si="4">F$11+C13</f>
        <v>0.33202183055793588</v>
      </c>
      <c r="G13" s="82"/>
      <c r="H13" s="27">
        <f t="shared" si="1"/>
        <v>0.11067394351931197</v>
      </c>
      <c r="I13" s="1">
        <f t="shared" ref="I13:I15" si="5">C$6*B13</f>
        <v>3.9199999999999995</v>
      </c>
      <c r="J13" s="1">
        <f t="shared" ref="J13:J15" si="6">F13*(I13+J$11)</f>
        <v>32.443744377524261</v>
      </c>
      <c r="K13" s="27">
        <f t="shared" si="2"/>
        <v>10.814581459174754</v>
      </c>
    </row>
    <row r="14" spans="1:11" x14ac:dyDescent="0.3">
      <c r="A14" s="1">
        <v>4</v>
      </c>
      <c r="B14" s="1">
        <f t="shared" si="3"/>
        <v>210</v>
      </c>
      <c r="C14" s="82">
        <f t="shared" si="0"/>
        <v>1.7850000000000001E-2</v>
      </c>
      <c r="D14" s="82"/>
      <c r="E14" s="82"/>
      <c r="F14" s="82">
        <f t="shared" si="4"/>
        <v>0.33797183055793584</v>
      </c>
      <c r="G14" s="82"/>
      <c r="H14" s="27">
        <f t="shared" si="1"/>
        <v>8.4492957639483959E-2</v>
      </c>
      <c r="I14" s="1">
        <f t="shared" si="5"/>
        <v>5.879999999999999</v>
      </c>
      <c r="J14" s="1">
        <f t="shared" si="6"/>
        <v>33.687577558720982</v>
      </c>
      <c r="K14" s="27">
        <f t="shared" si="2"/>
        <v>8.4218943896802454</v>
      </c>
    </row>
    <row r="15" spans="1:11" x14ac:dyDescent="0.3">
      <c r="A15" s="1">
        <v>5</v>
      </c>
      <c r="B15" s="1">
        <f t="shared" si="3"/>
        <v>280</v>
      </c>
      <c r="C15" s="82">
        <f t="shared" si="0"/>
        <v>2.3800000000000002E-2</v>
      </c>
      <c r="D15" s="82"/>
      <c r="E15" s="82"/>
      <c r="F15" s="82">
        <f t="shared" si="4"/>
        <v>0.34392183055793585</v>
      </c>
      <c r="G15" s="82"/>
      <c r="H15" s="27">
        <f t="shared" si="1"/>
        <v>6.878436611158717E-2</v>
      </c>
      <c r="I15" s="1">
        <f t="shared" si="5"/>
        <v>7.839999999999999</v>
      </c>
      <c r="J15" s="1">
        <f t="shared" si="6"/>
        <v>34.954734739917718</v>
      </c>
      <c r="K15" s="27">
        <f t="shared" si="2"/>
        <v>6.9909469479835433</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0.38370267905452815</v>
      </c>
      <c r="G17" s="95"/>
      <c r="H17" s="27">
        <f>F17/A17</f>
        <v>0.38370267905452815</v>
      </c>
      <c r="I17" s="1">
        <v>0</v>
      </c>
      <c r="J17" s="1">
        <f>F17*(0.5*C$8+0.5*F$6)</f>
        <v>104.55519268963053</v>
      </c>
      <c r="K17" s="27">
        <f>J17/A17</f>
        <v>104.55519268963053</v>
      </c>
    </row>
    <row r="18" spans="1:11" x14ac:dyDescent="0.3">
      <c r="A18" s="1">
        <v>2</v>
      </c>
      <c r="B18" s="1">
        <f>C$7+B17</f>
        <v>70</v>
      </c>
      <c r="C18" s="76">
        <f>B18*(0.5*C$4+0.5*'Transport c&amp;e fuel vehicles'!C$5)/100</f>
        <v>1.6975000000000001E-2</v>
      </c>
      <c r="D18" s="77"/>
      <c r="E18" s="78"/>
      <c r="F18" s="76">
        <f>F$17+C18</f>
        <v>0.40067767905452817</v>
      </c>
      <c r="G18" s="78"/>
      <c r="H18" s="27">
        <f t="shared" ref="H18:H21" si="7">F18/A18</f>
        <v>0.20033883952726408</v>
      </c>
      <c r="I18" s="1">
        <f>B18*(0.5*C$6+0.5*'Transport c&amp;e fuel vehicles'!C$6)/100</f>
        <v>4.4800000000000006E-2</v>
      </c>
      <c r="J18" s="1">
        <f>F18*(I18+J$17)</f>
        <v>41.910882300001774</v>
      </c>
      <c r="K18" s="27">
        <f t="shared" ref="K18:K21" si="8">J18/A18</f>
        <v>20.955441150000887</v>
      </c>
    </row>
    <row r="19" spans="1:11" x14ac:dyDescent="0.3">
      <c r="A19" s="1">
        <v>3</v>
      </c>
      <c r="B19" s="1">
        <f t="shared" ref="B19:B21" si="9">C$7+B18</f>
        <v>140</v>
      </c>
      <c r="C19" s="76">
        <f>B19*(0.5*C$4+0.5*'Transport c&amp;e fuel vehicles'!C$5)/100</f>
        <v>3.3950000000000001E-2</v>
      </c>
      <c r="D19" s="77"/>
      <c r="E19" s="78"/>
      <c r="F19" s="76">
        <f t="shared" ref="F19:F21" si="10">F$17+C19</f>
        <v>0.41765267905452813</v>
      </c>
      <c r="G19" s="78"/>
      <c r="H19" s="27">
        <f t="shared" si="7"/>
        <v>0.1392175596848427</v>
      </c>
      <c r="I19" s="1">
        <f>B19*(0.5*C$6+0.5*'Transport c&amp;e fuel vehicles'!C$6)/100</f>
        <v>8.9600000000000013E-2</v>
      </c>
      <c r="J19" s="1">
        <f t="shared" ref="J19:J21" si="11">F19*(I19+J$17)</f>
        <v>43.705178015929896</v>
      </c>
      <c r="K19" s="27">
        <f t="shared" si="8"/>
        <v>14.568392671976632</v>
      </c>
    </row>
    <row r="20" spans="1:11" x14ac:dyDescent="0.3">
      <c r="A20" s="1">
        <v>4</v>
      </c>
      <c r="B20" s="1">
        <f t="shared" si="9"/>
        <v>210</v>
      </c>
      <c r="C20" s="76">
        <f>B20*(0.5*C$4+0.5*'Transport c&amp;e fuel vehicles'!C$5)/100</f>
        <v>5.0925000000000005E-2</v>
      </c>
      <c r="D20" s="77"/>
      <c r="E20" s="78"/>
      <c r="F20" s="76">
        <f t="shared" si="10"/>
        <v>0.43462767905452815</v>
      </c>
      <c r="G20" s="78"/>
      <c r="H20" s="27">
        <f t="shared" si="7"/>
        <v>0.10865691976363204</v>
      </c>
      <c r="I20" s="1">
        <f>B20*(0.5*C$6+0.5*'Transport c&amp;e fuel vehicles'!C$6)/100</f>
        <v>0.13439999999999999</v>
      </c>
      <c r="J20" s="1">
        <f t="shared" si="11"/>
        <v>45.500994691858011</v>
      </c>
      <c r="K20" s="27">
        <f t="shared" si="8"/>
        <v>11.375248672964503</v>
      </c>
    </row>
    <row r="21" spans="1:11" x14ac:dyDescent="0.3">
      <c r="A21" s="1">
        <v>5</v>
      </c>
      <c r="B21" s="1">
        <f t="shared" si="9"/>
        <v>280</v>
      </c>
      <c r="C21" s="76">
        <f>B21*(0.5*C$4+0.5*'Transport c&amp;e fuel vehicles'!C$5)/100</f>
        <v>6.7900000000000002E-2</v>
      </c>
      <c r="D21" s="77"/>
      <c r="E21" s="78"/>
      <c r="F21" s="76">
        <f t="shared" si="10"/>
        <v>0.45160267905452817</v>
      </c>
      <c r="G21" s="78"/>
      <c r="H21" s="27">
        <f t="shared" si="7"/>
        <v>9.0320535810905628E-2</v>
      </c>
      <c r="I21" s="1">
        <f>B21*(0.5*C$6+0.5*'Transport c&amp;e fuel vehicles'!C$6)/100</f>
        <v>0.17920000000000003</v>
      </c>
      <c r="J21" s="1">
        <f t="shared" si="11"/>
        <v>47.298332327786134</v>
      </c>
      <c r="K21" s="27">
        <f t="shared" si="8"/>
        <v>9.4596664655572269</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0.12953767096995544</v>
      </c>
      <c r="G23" s="98"/>
      <c r="H23" s="27">
        <f>F23/A23</f>
        <v>0.12953767096995544</v>
      </c>
      <c r="I23" s="1">
        <v>0</v>
      </c>
      <c r="J23" s="1">
        <f>C$8*F23</f>
        <v>37.954537594196943</v>
      </c>
      <c r="K23" s="27">
        <f>J23/A23</f>
        <v>37.954537594196943</v>
      </c>
    </row>
    <row r="24" spans="1:11" x14ac:dyDescent="0.3">
      <c r="A24" s="1">
        <v>2</v>
      </c>
      <c r="B24" s="1">
        <f>C7+B23</f>
        <v>70</v>
      </c>
      <c r="C24" s="82">
        <f>C$5*B24/100</f>
        <v>0</v>
      </c>
      <c r="D24" s="82"/>
      <c r="E24" s="82"/>
      <c r="F24" s="82">
        <f>F23+C24</f>
        <v>0.12953767096995544</v>
      </c>
      <c r="G24" s="82"/>
      <c r="H24" s="27">
        <f>F24/A24</f>
        <v>6.4768835484977721E-2</v>
      </c>
      <c r="I24" s="1">
        <f>C6*B24</f>
        <v>1.9599999999999997</v>
      </c>
      <c r="J24" s="1">
        <f>F24*(I24+J23)</f>
        <v>5.1704362377950002</v>
      </c>
      <c r="K24" s="27">
        <f>J24/A24</f>
        <v>2.5852181188975001</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1.1632333959227321E-2</v>
      </c>
      <c r="G26" s="95"/>
      <c r="H26" s="27">
        <f>F26/A26</f>
        <v>1.1632333959227321E-2</v>
      </c>
      <c r="I26" s="1">
        <v>0</v>
      </c>
      <c r="J26" s="1">
        <f>C$8*F26</f>
        <v>3.4082738500536052</v>
      </c>
      <c r="K26" s="27">
        <f>J26/A26</f>
        <v>3.4082738500536052</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2.5218900023604832E-2</v>
      </c>
      <c r="G28" s="95"/>
      <c r="H28" s="27">
        <f>F28/A28</f>
        <v>2.5218900023604832E-2</v>
      </c>
      <c r="I28" s="1">
        <v>0</v>
      </c>
      <c r="J28" s="1">
        <f>C$8*F28</f>
        <v>7.3891377069162161</v>
      </c>
      <c r="K28" s="27">
        <f>J28/A28</f>
        <v>7.3891377069162161</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4.1203701295290749</v>
      </c>
      <c r="G30" s="95"/>
      <c r="H30" s="2">
        <f>F30/A30</f>
        <v>4.1203701295290749</v>
      </c>
      <c r="I30" s="1">
        <v>0</v>
      </c>
      <c r="J30" s="1">
        <f>C$8*F30</f>
        <v>1207.268447952019</v>
      </c>
      <c r="K30" s="27">
        <f>J30/A30</f>
        <v>1207.268447952019</v>
      </c>
    </row>
    <row r="31" spans="1:11" x14ac:dyDescent="0.3">
      <c r="A31" s="18">
        <f>'Passenger transport data'!H6</f>
        <v>20.54653865588681</v>
      </c>
      <c r="B31" s="1">
        <f>C$7*A31</f>
        <v>1438.2577059120767</v>
      </c>
      <c r="C31" s="76">
        <f t="shared" ref="C31:C33" si="12">C$4*B31/100</f>
        <v>0.12225190500252653</v>
      </c>
      <c r="D31" s="77"/>
      <c r="E31" s="78"/>
      <c r="F31" s="76">
        <f>F$30+C31</f>
        <v>4.2426220345316015</v>
      </c>
      <c r="G31" s="78"/>
      <c r="H31" s="27">
        <f t="shared" ref="H31:H33" si="13">F31/A31</f>
        <v>0.20648840690818954</v>
      </c>
      <c r="I31" s="1">
        <f>C$6*B31</f>
        <v>40.271215765538145</v>
      </c>
      <c r="J31" s="1">
        <f>F31*(I31+J$30)</f>
        <v>5292.8392662402521</v>
      </c>
      <c r="K31" s="27">
        <f t="shared" ref="K31:K33" si="14">J31/A31</f>
        <v>257.60247771581686</v>
      </c>
    </row>
    <row r="32" spans="1:11" x14ac:dyDescent="0.3">
      <c r="A32" s="18">
        <f>'Passenger transport data'!I6</f>
        <v>64.611756779518274</v>
      </c>
      <c r="B32" s="1">
        <f>C$7*A32</f>
        <v>4522.8229745662793</v>
      </c>
      <c r="C32" s="76">
        <f t="shared" si="12"/>
        <v>0.38443995283813381</v>
      </c>
      <c r="D32" s="77"/>
      <c r="E32" s="78"/>
      <c r="F32" s="76">
        <f t="shared" ref="F32:F33" si="15">F$30+C32</f>
        <v>4.504810082367209</v>
      </c>
      <c r="G32" s="78"/>
      <c r="H32" s="27">
        <f t="shared" si="13"/>
        <v>6.9721213396804274E-2</v>
      </c>
      <c r="I32" s="1">
        <f t="shared" ref="I32:I33" si="16">C$6*B32</f>
        <v>126.63904328785581</v>
      </c>
      <c r="J32" s="1">
        <f t="shared" ref="J32:J33" si="17">F32*(I32+J$30)</f>
        <v>6008.9999154825382</v>
      </c>
      <c r="K32" s="27">
        <f t="shared" si="14"/>
        <v>93.001648848331158</v>
      </c>
    </row>
    <row r="33" spans="1:11" x14ac:dyDescent="0.3">
      <c r="A33" s="18">
        <f>'Passenger transport data'!J6</f>
        <v>108.67697490314973</v>
      </c>
      <c r="B33" s="1">
        <f>C$7*A33</f>
        <v>7607.3882432204809</v>
      </c>
      <c r="C33" s="76">
        <f t="shared" si="12"/>
        <v>0.64662800067374093</v>
      </c>
      <c r="D33" s="77"/>
      <c r="E33" s="78"/>
      <c r="F33" s="76">
        <f t="shared" si="15"/>
        <v>4.7669981302028157</v>
      </c>
      <c r="G33" s="78"/>
      <c r="H33" s="27">
        <f t="shared" si="13"/>
        <v>4.3863919974318835E-2</v>
      </c>
      <c r="I33" s="1">
        <f t="shared" si="16"/>
        <v>213.00687081017344</v>
      </c>
      <c r="J33" s="1">
        <f t="shared" si="17"/>
        <v>6770.4497889125796</v>
      </c>
      <c r="K33" s="27">
        <f t="shared" si="14"/>
        <v>62.29884292368498</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18.314865362078184</v>
      </c>
      <c r="G35" s="95"/>
      <c r="H35" s="2">
        <f>F35/A35</f>
        <v>18.314865362078184</v>
      </c>
      <c r="I35" s="1">
        <v>0</v>
      </c>
      <c r="J35" s="34">
        <f>C$8*F35</f>
        <v>5366.2555510889079</v>
      </c>
      <c r="K35" s="27">
        <f>J35/A35</f>
        <v>5366.2555510889079</v>
      </c>
    </row>
    <row r="36" spans="1:11" x14ac:dyDescent="0.3">
      <c r="A36" s="18">
        <f>'Passenger transport data'!H7</f>
        <v>34.244231093144684</v>
      </c>
      <c r="B36" s="1">
        <f>C$7*A36</f>
        <v>2397.0961765201278</v>
      </c>
      <c r="C36" s="76">
        <f t="shared" ref="C36:C38" si="18">C$4*B36/100</f>
        <v>0.20375317500421086</v>
      </c>
      <c r="D36" s="77"/>
      <c r="E36" s="78"/>
      <c r="F36" s="76">
        <f>F$35+C36</f>
        <v>18.518618537082393</v>
      </c>
      <c r="G36" s="78"/>
      <c r="H36" s="27">
        <f t="shared" ref="H36:H38" si="19">F36/A36</f>
        <v>0.54078067884519143</v>
      </c>
      <c r="I36" s="1">
        <f>C$6*B36</f>
        <v>67.11869294256357</v>
      </c>
      <c r="J36" s="34">
        <f>F36*(I36+J$35)</f>
        <v>100618.58499442725</v>
      </c>
      <c r="K36" s="27">
        <f t="shared" ref="K36:K38" si="20">J36/A36</f>
        <v>2938.2638121073178</v>
      </c>
    </row>
    <row r="37" spans="1:11" x14ac:dyDescent="0.3">
      <c r="A37" s="18">
        <f>'Passenger transport data'!I7</f>
        <v>107.68626129919713</v>
      </c>
      <c r="B37" s="1">
        <f t="shared" ref="B37:B38" si="21">C$7*A37</f>
        <v>7538.0382909437985</v>
      </c>
      <c r="C37" s="76">
        <f t="shared" si="18"/>
        <v>0.64073325473022291</v>
      </c>
      <c r="D37" s="77"/>
      <c r="E37" s="78"/>
      <c r="F37" s="76">
        <f t="shared" ref="F37:F38" si="22">F$35+C37</f>
        <v>18.955598616808405</v>
      </c>
      <c r="G37" s="78"/>
      <c r="H37" s="27">
        <f t="shared" si="19"/>
        <v>0.17602615587277085</v>
      </c>
      <c r="I37" s="1">
        <f t="shared" ref="I37:I38" si="23">C$6*B37</f>
        <v>211.06507214642633</v>
      </c>
      <c r="J37" s="34">
        <f t="shared" ref="J37:J38" si="24">F37*(I37+J$35)</f>
        <v>105721.45109129669</v>
      </c>
      <c r="K37" s="27">
        <f t="shared" si="20"/>
        <v>981.75430937804242</v>
      </c>
    </row>
    <row r="38" spans="1:11" x14ac:dyDescent="0.3">
      <c r="A38" s="18">
        <f>'Passenger transport data'!J7</f>
        <v>181.12829150524954</v>
      </c>
      <c r="B38" s="1">
        <f t="shared" si="21"/>
        <v>12678.980405367467</v>
      </c>
      <c r="C38" s="76">
        <f t="shared" si="18"/>
        <v>1.0777133344562349</v>
      </c>
      <c r="D38" s="77"/>
      <c r="E38" s="78"/>
      <c r="F38" s="76">
        <f t="shared" si="22"/>
        <v>19.392578696534418</v>
      </c>
      <c r="G38" s="78"/>
      <c r="H38" s="27">
        <f t="shared" si="19"/>
        <v>0.10706543155337152</v>
      </c>
      <c r="I38" s="1">
        <f t="shared" si="23"/>
        <v>355.01145135028906</v>
      </c>
      <c r="J38" s="34">
        <f t="shared" si="24"/>
        <v>110950.1205886877</v>
      </c>
      <c r="K38" s="27">
        <f t="shared" si="20"/>
        <v>612.54992064821693</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0</v>
      </c>
      <c r="G40" s="95"/>
      <c r="H40" s="1">
        <f>F40/A40</f>
        <v>0</v>
      </c>
      <c r="I40" s="1">
        <v>0</v>
      </c>
      <c r="J40" s="1">
        <f>C$8*F40</f>
        <v>0</v>
      </c>
      <c r="K40" s="1">
        <f>J40/A40</f>
        <v>0</v>
      </c>
    </row>
    <row r="41" spans="1:11" x14ac:dyDescent="0.3">
      <c r="A41" s="18">
        <f>'Passenger transport data'!H8</f>
        <v>0</v>
      </c>
      <c r="B41" s="1">
        <f>C$7*A41</f>
        <v>0</v>
      </c>
      <c r="C41" s="76">
        <f t="shared" ref="C41:C43" si="25">B41*C$4/100</f>
        <v>0</v>
      </c>
      <c r="D41" s="77"/>
      <c r="E41" s="78"/>
      <c r="F41" s="76">
        <f>F$40+C41</f>
        <v>0</v>
      </c>
      <c r="G41" s="78"/>
      <c r="H41" s="27" t="e">
        <f t="shared" ref="H41:H43" si="26">F41/A41</f>
        <v>#DIV/0!</v>
      </c>
      <c r="I41" s="1">
        <f>C$6*B41</f>
        <v>0</v>
      </c>
      <c r="J41" s="1">
        <f>F41*(I41+J$40)</f>
        <v>0</v>
      </c>
      <c r="K41" s="27" t="e">
        <f t="shared" ref="K41:K43" si="27">J41/A41</f>
        <v>#DIV/0!</v>
      </c>
    </row>
    <row r="42" spans="1:11" x14ac:dyDescent="0.3">
      <c r="A42" s="18">
        <f>'Passenger transport data'!I8</f>
        <v>0</v>
      </c>
      <c r="B42" s="1">
        <f t="shared" ref="B42:B43" si="28">C$7*A42</f>
        <v>0</v>
      </c>
      <c r="C42" s="76">
        <f t="shared" si="25"/>
        <v>0</v>
      </c>
      <c r="D42" s="77"/>
      <c r="E42" s="78"/>
      <c r="F42" s="76">
        <f>F$40+C42</f>
        <v>0</v>
      </c>
      <c r="G42" s="78"/>
      <c r="H42" s="27" t="e">
        <f t="shared" si="26"/>
        <v>#DIV/0!</v>
      </c>
      <c r="I42" s="1">
        <f t="shared" ref="I42:I43" si="29">C$6*B42</f>
        <v>0</v>
      </c>
      <c r="J42" s="1">
        <f t="shared" ref="J42:J43" si="30">F42*(I42+J$40)</f>
        <v>0</v>
      </c>
      <c r="K42" s="27" t="e">
        <f t="shared" si="27"/>
        <v>#DIV/0!</v>
      </c>
    </row>
    <row r="43" spans="1:11" x14ac:dyDescent="0.3">
      <c r="A43" s="18">
        <f>'Passenger transport data'!J8</f>
        <v>0</v>
      </c>
      <c r="B43" s="1">
        <f t="shared" si="28"/>
        <v>0</v>
      </c>
      <c r="C43" s="76">
        <f t="shared" si="25"/>
        <v>0</v>
      </c>
      <c r="D43" s="77"/>
      <c r="E43" s="78"/>
      <c r="F43" s="76">
        <f t="shared" ref="F43" si="31">F$40+C43</f>
        <v>0</v>
      </c>
      <c r="G43" s="78"/>
      <c r="H43" s="27" t="e">
        <f t="shared" si="26"/>
        <v>#DIV/0!</v>
      </c>
      <c r="I43" s="1">
        <f t="shared" si="29"/>
        <v>0</v>
      </c>
      <c r="J43" s="1">
        <f t="shared" si="30"/>
        <v>0</v>
      </c>
      <c r="K43" s="27" t="e">
        <f t="shared" si="27"/>
        <v>#DIV/0!</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0.32012183055793586</v>
      </c>
    </row>
    <row r="8" spans="1:6" x14ac:dyDescent="0.3">
      <c r="B8" s="1" t="s">
        <v>99</v>
      </c>
      <c r="C8" s="1">
        <v>6.96</v>
      </c>
      <c r="D8" s="1">
        <f t="shared" ref="D8:D10" si="0">C8/100</f>
        <v>6.9599999999999995E-2</v>
      </c>
      <c r="E8" s="1">
        <f>D8/D$7</f>
        <v>0.40465116279069768</v>
      </c>
      <c r="F8" s="1">
        <f>F$7*E8</f>
        <v>0.12953767096995544</v>
      </c>
    </row>
    <row r="9" spans="1:6" x14ac:dyDescent="0.3">
      <c r="B9" s="1" t="s">
        <v>100</v>
      </c>
      <c r="C9" s="1">
        <v>0.625</v>
      </c>
      <c r="D9" s="1">
        <f t="shared" si="0"/>
        <v>6.2500000000000003E-3</v>
      </c>
      <c r="E9" s="1">
        <f>D9/D$7</f>
        <v>3.6337209302325583E-2</v>
      </c>
      <c r="F9" s="1">
        <f t="shared" ref="F9:F10" si="1">F$7*E9</f>
        <v>1.1632333959227321E-2</v>
      </c>
    </row>
    <row r="10" spans="1:6" x14ac:dyDescent="0.3">
      <c r="B10" s="1" t="s">
        <v>101</v>
      </c>
      <c r="C10" s="1">
        <v>1.355</v>
      </c>
      <c r="D10" s="1">
        <f t="shared" si="0"/>
        <v>1.355E-2</v>
      </c>
      <c r="E10" s="1">
        <f>D10/D$7</f>
        <v>7.8779069767441867E-2</v>
      </c>
      <c r="F10" s="1">
        <f t="shared" si="1"/>
        <v>2.5218900023604832E-2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3.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2022-06-27T11:56:00Z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