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225"/>
  <workbookPr defaultThemeVersion="166925"/>
  <mc:AlternateContent xmlns:mc="http://schemas.openxmlformats.org/markup-compatibility/2006">
    <mc:Choice Requires="x15">
      <x15ac:absPath xmlns:x15ac="http://schemas.microsoft.com/office/spreadsheetml/2010/11/ac" url="https://d.docs.live.net/ab28b4aa0758e9db/Desktop/Next six month planning/T1.2.1 (WP1)/CALCULATIONS/calculation for the rest of EU countries/"/>
    </mc:Choice>
  </mc:AlternateContent>
  <xr:revisionPtr revIDLastSave="1593" documentId="8_{4C372892-E9C3-428B-950B-C5A505A38EBC}" xr6:coauthVersionLast="47" xr6:coauthVersionMax="47" xr10:uidLastSave="{4D63DEE7-6DFB-4FF7-B4B6-558E338AF70A}"/>
  <bookViews>
    <workbookView xWindow="1920" yWindow="1920" windowWidth="14712" windowHeight="8880" firstSheet="7" activeTab="7" xr2:uid="{28AF4054-0069-4752-BCD1-F81AE9444EAF}"/>
  </bookViews>
  <sheets>
    <sheet name="Cons and emi per capita" sheetId="1" r:id="rId1"/>
    <sheet name="Label" sheetId="3" r:id="rId2"/>
    <sheet name="Passenger transport data" sheetId="4" r:id="rId3"/>
    <sheet name="PUBLIC TRANSPORT" sheetId="12" r:id="rId4"/>
    <sheet name="BUS" sheetId="11" r:id="rId5"/>
    <sheet name="bus2" sheetId="10" r:id="rId6"/>
    <sheet name="Transport c&amp;e fuel vehicles" sheetId="8" r:id="rId7"/>
    <sheet name="Transport c&amp;e electric vehicles" sheetId="9" r:id="rId8"/>
    <sheet name="electric veh relation" sheetId="7" r:id="rId9"/>
  </sheets>
  <externalReferences>
    <externalReference r:id="rId10"/>
    <externalReference r:id="rId11"/>
    <externalReference r:id="rId12"/>
    <externalReference r:id="rId13"/>
  </externalReferenc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C16" i="11" l="1"/>
  <c r="C15" i="11"/>
  <c r="B33" i="4" l="1"/>
  <c r="B32" i="4"/>
  <c r="B31" i="4"/>
  <c r="B26" i="4"/>
  <c r="B25" i="4"/>
  <c r="B24" i="4"/>
  <c r="B21" i="4"/>
  <c r="B20" i="4"/>
  <c r="B16" i="4"/>
  <c r="B13" i="4"/>
  <c r="B12" i="4"/>
  <c r="B11" i="4"/>
  <c r="B10" i="4"/>
  <c r="B8" i="4"/>
  <c r="B6" i="4"/>
  <c r="D10" i="1"/>
  <c r="B10" i="1"/>
  <c r="B4" i="1" l="1"/>
  <c r="B3" i="1"/>
  <c r="H6" i="12"/>
  <c r="H5" i="12" l="1"/>
  <c r="H4" i="12"/>
  <c r="K6" i="10" l="1"/>
  <c r="G5" i="10"/>
  <c r="F8" i="10"/>
  <c r="C11" i="11"/>
  <c r="E5" i="11" l="1"/>
  <c r="C8" i="10"/>
  <c r="I6" i="10"/>
  <c r="C5" i="10"/>
  <c r="C26" i="10" s="1"/>
  <c r="I4" i="10"/>
  <c r="F8" i="8"/>
  <c r="F25" i="8"/>
  <c r="C25" i="8"/>
  <c r="C11" i="10" l="1"/>
  <c r="C31" i="10"/>
  <c r="C16" i="10"/>
  <c r="C21" i="10"/>
  <c r="H25" i="8"/>
  <c r="J25" i="8"/>
  <c r="K25" i="8" s="1"/>
  <c r="D25" i="4"/>
  <c r="B10" i="12" s="1"/>
  <c r="C10" i="12" s="1"/>
  <c r="D15" i="4"/>
  <c r="D11" i="1"/>
  <c r="B11" i="1"/>
  <c r="D3" i="1" l="1"/>
  <c r="E6" i="3" s="1"/>
  <c r="C6" i="3" s="1"/>
  <c r="D4" i="1"/>
  <c r="E7" i="3" l="1"/>
  <c r="B7" i="3" l="1"/>
  <c r="C7" i="3"/>
  <c r="E2" i="3"/>
  <c r="E5" i="1"/>
  <c r="C10" i="1"/>
  <c r="B2" i="3" l="1"/>
  <c r="C2" i="3"/>
  <c r="B29" i="4"/>
  <c r="I19" i="9" l="1"/>
  <c r="I20" i="9"/>
  <c r="I21" i="9"/>
  <c r="I18" i="9"/>
  <c r="C18" i="9"/>
  <c r="C19" i="9"/>
  <c r="C20" i="9"/>
  <c r="C21" i="9"/>
  <c r="C17" i="9"/>
  <c r="B18" i="9"/>
  <c r="B19" i="9" s="1"/>
  <c r="B20" i="9" s="1"/>
  <c r="B21" i="9" s="1"/>
  <c r="B12" i="9"/>
  <c r="B13" i="9" s="1"/>
  <c r="C23" i="9"/>
  <c r="C6" i="9"/>
  <c r="C4" i="9"/>
  <c r="C26" i="9" s="1"/>
  <c r="B24" i="9"/>
  <c r="C24" i="9" s="1"/>
  <c r="C20" i="8"/>
  <c r="C11" i="8"/>
  <c r="B18" i="8"/>
  <c r="I18" i="8" s="1"/>
  <c r="B12" i="8"/>
  <c r="B13" i="8" s="1"/>
  <c r="C5" i="8"/>
  <c r="C18" i="8" s="1"/>
  <c r="D10" i="7"/>
  <c r="E9" i="7"/>
  <c r="D9" i="7"/>
  <c r="D8" i="7"/>
  <c r="E8" i="7" s="1"/>
  <c r="D7" i="7"/>
  <c r="E10" i="7" s="1"/>
  <c r="C11" i="9" l="1"/>
  <c r="C28" i="9"/>
  <c r="C40" i="9"/>
  <c r="C13" i="9"/>
  <c r="C30" i="9"/>
  <c r="I12" i="9"/>
  <c r="C12" i="9"/>
  <c r="C35" i="9"/>
  <c r="I24" i="9"/>
  <c r="I13" i="9"/>
  <c r="B14" i="9"/>
  <c r="C14" i="9" s="1"/>
  <c r="I13" i="8"/>
  <c r="C13" i="8"/>
  <c r="B14" i="8"/>
  <c r="I12" i="8"/>
  <c r="C17" i="8"/>
  <c r="C12" i="8"/>
  <c r="I14" i="9" l="1"/>
  <c r="B15" i="9"/>
  <c r="C15" i="9" s="1"/>
  <c r="I14" i="8"/>
  <c r="B15" i="8"/>
  <c r="C14" i="8"/>
  <c r="I15" i="9" l="1"/>
  <c r="I15" i="8"/>
  <c r="C15" i="8"/>
  <c r="I8" i="4" l="1"/>
  <c r="A46" i="12" s="1"/>
  <c r="I7" i="4"/>
  <c r="I6" i="4"/>
  <c r="A50" i="12" s="1"/>
  <c r="I5" i="4"/>
  <c r="A38" i="12" l="1"/>
  <c r="A27" i="8"/>
  <c r="B27" i="8" s="1"/>
  <c r="A18" i="12"/>
  <c r="A13" i="10"/>
  <c r="B13" i="10" s="1"/>
  <c r="A23" i="10"/>
  <c r="B23" i="10" s="1"/>
  <c r="A33" i="10"/>
  <c r="B33" i="10" s="1"/>
  <c r="A18" i="10"/>
  <c r="B18" i="10" s="1"/>
  <c r="A28" i="10"/>
  <c r="B28" i="10" s="1"/>
  <c r="H8" i="4"/>
  <c r="A42" i="9"/>
  <c r="B42" i="9" s="1"/>
  <c r="I42" i="9" s="1"/>
  <c r="J8" i="4"/>
  <c r="H7" i="4"/>
  <c r="A37" i="9"/>
  <c r="B37" i="9" s="1"/>
  <c r="J7" i="4"/>
  <c r="J6" i="4"/>
  <c r="A32" i="9"/>
  <c r="B32" i="9" s="1"/>
  <c r="H5" i="4"/>
  <c r="A22" i="8"/>
  <c r="B22" i="8" s="1"/>
  <c r="I22" i="8" s="1"/>
  <c r="H6" i="4"/>
  <c r="J5" i="4"/>
  <c r="D33" i="4"/>
  <c r="D32" i="4"/>
  <c r="A43" i="9" l="1"/>
  <c r="B43" i="9" s="1"/>
  <c r="A47" i="12"/>
  <c r="A41" i="9"/>
  <c r="B41" i="9" s="1"/>
  <c r="I41" i="9" s="1"/>
  <c r="A45" i="12"/>
  <c r="A38" i="9"/>
  <c r="B38" i="9" s="1"/>
  <c r="A39" i="12"/>
  <c r="A28" i="8"/>
  <c r="B28" i="8" s="1"/>
  <c r="A36" i="9"/>
  <c r="B36" i="9" s="1"/>
  <c r="C36" i="9" s="1"/>
  <c r="A37" i="12"/>
  <c r="A26" i="8"/>
  <c r="B26" i="8" s="1"/>
  <c r="I27" i="8"/>
  <c r="C27" i="8"/>
  <c r="F27" i="8" s="1"/>
  <c r="A42" i="12"/>
  <c r="A33" i="9"/>
  <c r="A51" i="12"/>
  <c r="A31" i="9"/>
  <c r="B31" i="9" s="1"/>
  <c r="A49" i="12"/>
  <c r="C28" i="10"/>
  <c r="I28" i="10"/>
  <c r="C18" i="10"/>
  <c r="I18" i="10"/>
  <c r="A21" i="8"/>
  <c r="B21" i="8" s="1"/>
  <c r="I21" i="8" s="1"/>
  <c r="A17" i="12"/>
  <c r="A22" i="10"/>
  <c r="B22" i="10" s="1"/>
  <c r="A12" i="10"/>
  <c r="B12" i="10" s="1"/>
  <c r="A32" i="10"/>
  <c r="B32" i="10" s="1"/>
  <c r="A17" i="10"/>
  <c r="B17" i="10" s="1"/>
  <c r="A27" i="10"/>
  <c r="B27" i="10" s="1"/>
  <c r="I23" i="10"/>
  <c r="C23" i="10"/>
  <c r="A19" i="12"/>
  <c r="A34" i="10"/>
  <c r="B34" i="10" s="1"/>
  <c r="A19" i="10"/>
  <c r="B19" i="10" s="1"/>
  <c r="A29" i="10"/>
  <c r="B29" i="10" s="1"/>
  <c r="A14" i="10"/>
  <c r="B14" i="10" s="1"/>
  <c r="A24" i="10"/>
  <c r="B24" i="10" s="1"/>
  <c r="C13" i="10"/>
  <c r="I13" i="10"/>
  <c r="I33" i="10"/>
  <c r="C33" i="10"/>
  <c r="A26" i="12"/>
  <c r="A34" i="12"/>
  <c r="A22" i="12"/>
  <c r="A30" i="12"/>
  <c r="C43" i="9"/>
  <c r="I43" i="9"/>
  <c r="C42" i="9"/>
  <c r="C41" i="9"/>
  <c r="I38" i="9"/>
  <c r="C38" i="9"/>
  <c r="I37" i="9"/>
  <c r="C37" i="9"/>
  <c r="C32" i="9"/>
  <c r="I32" i="9"/>
  <c r="I31" i="9"/>
  <c r="C31" i="9"/>
  <c r="B33" i="9"/>
  <c r="A23" i="8"/>
  <c r="B23" i="8" s="1"/>
  <c r="I23" i="8" s="1"/>
  <c r="C22" i="8"/>
  <c r="C21" i="8"/>
  <c r="D29" i="4"/>
  <c r="D26" i="4"/>
  <c r="D27" i="4"/>
  <c r="D24" i="4"/>
  <c r="D17" i="4"/>
  <c r="D16" i="4"/>
  <c r="L6" i="10" s="1"/>
  <c r="D10" i="4"/>
  <c r="F11" i="8" s="1"/>
  <c r="D11" i="4"/>
  <c r="F17" i="9" s="1"/>
  <c r="D12" i="4"/>
  <c r="D13" i="4"/>
  <c r="D8" i="4"/>
  <c r="F17" i="8" s="1"/>
  <c r="F40" i="9" l="1"/>
  <c r="H40" i="9" s="1"/>
  <c r="B11" i="12"/>
  <c r="B46" i="12" s="1"/>
  <c r="F35" i="9"/>
  <c r="H35" i="9" s="1"/>
  <c r="B9" i="12"/>
  <c r="B38" i="12" s="1"/>
  <c r="F30" i="9"/>
  <c r="H30" i="9" s="1"/>
  <c r="B12" i="12"/>
  <c r="B50" i="12" s="1"/>
  <c r="I26" i="8"/>
  <c r="C26" i="8"/>
  <c r="F26" i="8" s="1"/>
  <c r="A41" i="12"/>
  <c r="B37" i="12"/>
  <c r="I36" i="9"/>
  <c r="I28" i="8"/>
  <c r="C28" i="8"/>
  <c r="F28" i="8" s="1"/>
  <c r="J27" i="8"/>
  <c r="K27" i="8" s="1"/>
  <c r="H27" i="8"/>
  <c r="A43" i="12"/>
  <c r="C42" i="12"/>
  <c r="B42" i="12"/>
  <c r="F20" i="8"/>
  <c r="B4" i="12"/>
  <c r="F11" i="10"/>
  <c r="H11" i="10" s="1"/>
  <c r="F31" i="10"/>
  <c r="H31" i="10" s="1"/>
  <c r="F21" i="10"/>
  <c r="F26" i="10"/>
  <c r="F28" i="10" s="1"/>
  <c r="F16" i="10"/>
  <c r="H16" i="10" s="1"/>
  <c r="I22" i="10"/>
  <c r="C22" i="10"/>
  <c r="A25" i="12"/>
  <c r="A33" i="12"/>
  <c r="B17" i="12"/>
  <c r="A29" i="12"/>
  <c r="A21" i="12"/>
  <c r="C19" i="10"/>
  <c r="I19" i="10"/>
  <c r="A31" i="12"/>
  <c r="A35" i="12"/>
  <c r="A27" i="12"/>
  <c r="B19" i="12"/>
  <c r="A23" i="12"/>
  <c r="C12" i="10"/>
  <c r="F12" i="10" s="1"/>
  <c r="H12" i="10" s="1"/>
  <c r="I12" i="10"/>
  <c r="C27" i="10"/>
  <c r="I27" i="10"/>
  <c r="C14" i="10"/>
  <c r="F14" i="10" s="1"/>
  <c r="H14" i="10" s="1"/>
  <c r="I14" i="10"/>
  <c r="I17" i="10"/>
  <c r="C17" i="10"/>
  <c r="C34" i="10"/>
  <c r="I34" i="10"/>
  <c r="I24" i="10"/>
  <c r="C24" i="10"/>
  <c r="I29" i="10"/>
  <c r="C29" i="10"/>
  <c r="F29" i="10" s="1"/>
  <c r="I32" i="10"/>
  <c r="C32" i="10"/>
  <c r="C8" i="9"/>
  <c r="H3" i="12"/>
  <c r="C10" i="11"/>
  <c r="C8" i="8"/>
  <c r="J11" i="8" s="1"/>
  <c r="K11" i="8" s="1"/>
  <c r="F41" i="9"/>
  <c r="H41" i="9" s="1"/>
  <c r="F42" i="9"/>
  <c r="H42" i="9" s="1"/>
  <c r="F43" i="9"/>
  <c r="H43" i="9" s="1"/>
  <c r="F38" i="9"/>
  <c r="H38" i="9" s="1"/>
  <c r="F37" i="9"/>
  <c r="H37" i="9" s="1"/>
  <c r="F36" i="9"/>
  <c r="H36" i="9" s="1"/>
  <c r="F31" i="9"/>
  <c r="H31" i="9" s="1"/>
  <c r="J35" i="9"/>
  <c r="J30" i="9"/>
  <c r="J40" i="9"/>
  <c r="H20" i="8"/>
  <c r="F21" i="8"/>
  <c r="F22" i="8"/>
  <c r="F11" i="9"/>
  <c r="F7" i="7"/>
  <c r="H17" i="9"/>
  <c r="F19" i="9"/>
  <c r="F20" i="9"/>
  <c r="F21" i="9"/>
  <c r="F18" i="9"/>
  <c r="H11" i="8"/>
  <c r="F13" i="8"/>
  <c r="F12" i="8"/>
  <c r="F14" i="8"/>
  <c r="F15" i="8"/>
  <c r="H17" i="8"/>
  <c r="F18" i="8"/>
  <c r="C23" i="8"/>
  <c r="F23" i="8" s="1"/>
  <c r="I33" i="9"/>
  <c r="C33" i="9"/>
  <c r="F33" i="9" s="1"/>
  <c r="E10" i="1"/>
  <c r="F24" i="10" l="1"/>
  <c r="F22" i="10"/>
  <c r="B39" i="12"/>
  <c r="B47" i="12"/>
  <c r="B45" i="12"/>
  <c r="F32" i="9"/>
  <c r="H32" i="9" s="1"/>
  <c r="B49" i="12"/>
  <c r="B51" i="12"/>
  <c r="J28" i="8"/>
  <c r="K28" i="8" s="1"/>
  <c r="H28" i="8"/>
  <c r="B41" i="12"/>
  <c r="C41" i="12"/>
  <c r="C43" i="12"/>
  <c r="B43" i="12"/>
  <c r="H26" i="8"/>
  <c r="J26" i="8"/>
  <c r="K26" i="8" s="1"/>
  <c r="J17" i="8"/>
  <c r="K17" i="8" s="1"/>
  <c r="J20" i="8"/>
  <c r="K20" i="8" s="1"/>
  <c r="J14" i="8"/>
  <c r="K14" i="8" s="1"/>
  <c r="J12" i="8"/>
  <c r="H28" i="10"/>
  <c r="F17" i="10"/>
  <c r="H17" i="10" s="1"/>
  <c r="F19" i="10"/>
  <c r="H19" i="10" s="1"/>
  <c r="J21" i="10"/>
  <c r="K21" i="10" s="1"/>
  <c r="H21" i="10"/>
  <c r="J26" i="10"/>
  <c r="K26" i="10" s="1"/>
  <c r="H26" i="10"/>
  <c r="F33" i="10"/>
  <c r="H33" i="10" s="1"/>
  <c r="B34" i="12"/>
  <c r="B6" i="12"/>
  <c r="B5" i="12"/>
  <c r="B22" i="12" s="1"/>
  <c r="B18" i="12"/>
  <c r="F32" i="10"/>
  <c r="H32" i="10" s="1"/>
  <c r="F18" i="10"/>
  <c r="H18" i="10" s="1"/>
  <c r="F34" i="10"/>
  <c r="H34" i="10" s="1"/>
  <c r="F27" i="10"/>
  <c r="B35" i="12"/>
  <c r="F13" i="10"/>
  <c r="H13" i="10" s="1"/>
  <c r="F23" i="10"/>
  <c r="J15" i="8"/>
  <c r="J13" i="8"/>
  <c r="K13" i="8" s="1"/>
  <c r="J18" i="8"/>
  <c r="K18" i="8" s="1"/>
  <c r="H24" i="10"/>
  <c r="B29" i="12"/>
  <c r="H29" i="10"/>
  <c r="J22" i="10"/>
  <c r="K22" i="10" s="1"/>
  <c r="H22" i="10"/>
  <c r="I8" i="10"/>
  <c r="E2" i="11"/>
  <c r="C11" i="12"/>
  <c r="H8" i="12"/>
  <c r="C7" i="12" s="1"/>
  <c r="C12" i="12"/>
  <c r="C9" i="12"/>
  <c r="C5" i="12"/>
  <c r="J21" i="8"/>
  <c r="K21" i="8" s="1"/>
  <c r="J23" i="8"/>
  <c r="K23" i="8" s="1"/>
  <c r="H22" i="8"/>
  <c r="J22" i="8"/>
  <c r="K22" i="8" s="1"/>
  <c r="H21" i="8"/>
  <c r="K30" i="9"/>
  <c r="J32" i="9"/>
  <c r="K32" i="9" s="1"/>
  <c r="J31" i="9"/>
  <c r="K31" i="9" s="1"/>
  <c r="K35" i="9"/>
  <c r="J38" i="9"/>
  <c r="K38" i="9" s="1"/>
  <c r="J36" i="9"/>
  <c r="K36" i="9" s="1"/>
  <c r="J37" i="9"/>
  <c r="K37" i="9" s="1"/>
  <c r="K40" i="9"/>
  <c r="J43" i="9"/>
  <c r="K43" i="9" s="1"/>
  <c r="J42" i="9"/>
  <c r="K42" i="9" s="1"/>
  <c r="J41" i="9"/>
  <c r="K41" i="9" s="1"/>
  <c r="J33" i="9"/>
  <c r="K33" i="9" s="1"/>
  <c r="F6" i="9"/>
  <c r="J17" i="9" s="1"/>
  <c r="J18" i="9" s="1"/>
  <c r="F8" i="7"/>
  <c r="F23" i="9" s="1"/>
  <c r="F9" i="7"/>
  <c r="F26" i="9" s="1"/>
  <c r="F10" i="7"/>
  <c r="F28" i="9" s="1"/>
  <c r="J11" i="9"/>
  <c r="H11" i="9"/>
  <c r="F12" i="9"/>
  <c r="F13" i="9"/>
  <c r="F14" i="9"/>
  <c r="F15" i="9"/>
  <c r="H20" i="9"/>
  <c r="H21" i="9"/>
  <c r="H19" i="9"/>
  <c r="H18" i="9"/>
  <c r="H13" i="8"/>
  <c r="K15" i="8"/>
  <c r="H15" i="8"/>
  <c r="H12" i="8"/>
  <c r="K12" i="8"/>
  <c r="H14" i="8"/>
  <c r="H18" i="8"/>
  <c r="H23" i="8"/>
  <c r="H33" i="9"/>
  <c r="E9" i="3"/>
  <c r="E5" i="3"/>
  <c r="E3" i="3"/>
  <c r="C3" i="3" s="1"/>
  <c r="J27" i="10" l="1"/>
  <c r="K27" i="10" s="1"/>
  <c r="J24" i="10"/>
  <c r="K24" i="10" s="1"/>
  <c r="J29" i="10"/>
  <c r="K29" i="10" s="1"/>
  <c r="B21" i="12"/>
  <c r="H27" i="10"/>
  <c r="C8" i="12"/>
  <c r="B30" i="12"/>
  <c r="J23" i="10"/>
  <c r="K23" i="10" s="1"/>
  <c r="H23" i="10"/>
  <c r="C6" i="12"/>
  <c r="B26" i="12"/>
  <c r="B25" i="12"/>
  <c r="B33" i="12"/>
  <c r="B23" i="12"/>
  <c r="J28" i="10"/>
  <c r="K28" i="10" s="1"/>
  <c r="B31" i="12"/>
  <c r="B27" i="12"/>
  <c r="C21" i="12"/>
  <c r="C22" i="12"/>
  <c r="C23" i="12"/>
  <c r="C50" i="12"/>
  <c r="C51" i="12"/>
  <c r="C49" i="12"/>
  <c r="C34" i="12"/>
  <c r="C35" i="12"/>
  <c r="C33" i="12"/>
  <c r="C39" i="12"/>
  <c r="C38" i="12"/>
  <c r="C37" i="12"/>
  <c r="C46" i="12"/>
  <c r="C47" i="12"/>
  <c r="C45" i="12"/>
  <c r="K8" i="10"/>
  <c r="J31" i="10" s="1"/>
  <c r="H7" i="12"/>
  <c r="C4" i="12" s="1"/>
  <c r="J11" i="10"/>
  <c r="J16" i="10"/>
  <c r="C9" i="3"/>
  <c r="C5" i="3"/>
  <c r="K11" i="9"/>
  <c r="J13" i="9"/>
  <c r="K13" i="9" s="1"/>
  <c r="J14" i="9"/>
  <c r="K14" i="9" s="1"/>
  <c r="J15" i="9"/>
  <c r="K15" i="9" s="1"/>
  <c r="J12" i="9"/>
  <c r="K12" i="9" s="1"/>
  <c r="K17" i="9"/>
  <c r="J20" i="9"/>
  <c r="K20" i="9" s="1"/>
  <c r="J21" i="9"/>
  <c r="K21" i="9" s="1"/>
  <c r="K18" i="9"/>
  <c r="J19" i="9"/>
  <c r="K19" i="9" s="1"/>
  <c r="H14" i="9"/>
  <c r="H28" i="9"/>
  <c r="J28" i="9"/>
  <c r="K28" i="9" s="1"/>
  <c r="H13" i="9"/>
  <c r="J26" i="9"/>
  <c r="K26" i="9" s="1"/>
  <c r="H26" i="9"/>
  <c r="H12" i="9"/>
  <c r="H15" i="9"/>
  <c r="J23" i="9"/>
  <c r="H23" i="9"/>
  <c r="F24" i="9"/>
  <c r="G3" i="3"/>
  <c r="F3" i="3"/>
  <c r="D3" i="3"/>
  <c r="B3" i="3"/>
  <c r="G9" i="3"/>
  <c r="B9" i="3"/>
  <c r="D9" i="3"/>
  <c r="F9" i="3"/>
  <c r="D5" i="3"/>
  <c r="F5" i="3"/>
  <c r="G5" i="3"/>
  <c r="B5" i="3"/>
  <c r="E4" i="3"/>
  <c r="C4" i="3" s="1"/>
  <c r="G2" i="3"/>
  <c r="D2" i="3"/>
  <c r="F2" i="3"/>
  <c r="B5" i="1"/>
  <c r="C26" i="12" l="1"/>
  <c r="C27" i="12"/>
  <c r="C25" i="12"/>
  <c r="C30" i="12"/>
  <c r="C29" i="12"/>
  <c r="C31" i="12"/>
  <c r="K31" i="10"/>
  <c r="J33" i="10"/>
  <c r="K33" i="10" s="1"/>
  <c r="J32" i="10"/>
  <c r="K32" i="10" s="1"/>
  <c r="J34" i="10"/>
  <c r="K34" i="10" s="1"/>
  <c r="J17" i="10"/>
  <c r="K17" i="10" s="1"/>
  <c r="K16" i="10"/>
  <c r="J19" i="10"/>
  <c r="K19" i="10" s="1"/>
  <c r="J18" i="10"/>
  <c r="K18" i="10" s="1"/>
  <c r="K11" i="10"/>
  <c r="J14" i="10"/>
  <c r="K14" i="10" s="1"/>
  <c r="J12" i="10"/>
  <c r="K12" i="10" s="1"/>
  <c r="J13" i="10"/>
  <c r="K13" i="10" s="1"/>
  <c r="C18" i="12"/>
  <c r="C17" i="12"/>
  <c r="C19" i="12"/>
  <c r="E13" i="3"/>
  <c r="C13" i="3"/>
  <c r="K23" i="9"/>
  <c r="J24" i="9"/>
  <c r="K24" i="9" s="1"/>
  <c r="H24" i="9"/>
  <c r="G7" i="3"/>
  <c r="F7" i="3"/>
  <c r="D7" i="3"/>
  <c r="D6" i="3"/>
  <c r="F6" i="3"/>
  <c r="B6" i="3"/>
  <c r="G6" i="3"/>
  <c r="E8" i="3"/>
  <c r="D4" i="3"/>
  <c r="D13" i="3" s="1"/>
  <c r="G4" i="3"/>
  <c r="G13" i="3" s="1"/>
  <c r="B4" i="3"/>
  <c r="B13" i="3" s="1"/>
  <c r="F4" i="3"/>
  <c r="F13" i="3" s="1"/>
  <c r="D5" i="1"/>
  <c r="C8" i="3" l="1"/>
  <c r="C14" i="3" s="1"/>
  <c r="E14" i="3"/>
  <c r="D8" i="3"/>
  <c r="D14" i="3" s="1"/>
  <c r="G8" i="3"/>
  <c r="G14" i="3" s="1"/>
  <c r="F8" i="3"/>
  <c r="F14" i="3" s="1"/>
  <c r="B8" i="3"/>
  <c r="B14" i="3" s="1"/>
</calcChain>
</file>

<file path=xl/sharedStrings.xml><?xml version="1.0" encoding="utf-8"?>
<sst xmlns="http://schemas.openxmlformats.org/spreadsheetml/2006/main" count="307" uniqueCount="195">
  <si>
    <t>consumption per capita</t>
  </si>
  <si>
    <t>Electric consumption</t>
  </si>
  <si>
    <t>kWh/capita</t>
  </si>
  <si>
    <t>kg CO2/kWh</t>
  </si>
  <si>
    <t>kg CO2/capita</t>
  </si>
  <si>
    <t>Thermal consumption</t>
  </si>
  <si>
    <t>Total household consumption</t>
  </si>
  <si>
    <t>-</t>
  </si>
  <si>
    <t>All data should be from 2015</t>
  </si>
  <si>
    <t>For the electricity EF, national data should be used</t>
  </si>
  <si>
    <t>The energy consumption per capita can be found in IDEES-JRC</t>
  </si>
  <si>
    <t>The thermal EF considered is natural gas (from national data)</t>
  </si>
  <si>
    <t>In yellow: cells to fill</t>
  </si>
  <si>
    <t>In green: results calculated by formula</t>
  </si>
  <si>
    <t>Emission Factor</t>
  </si>
  <si>
    <t>Carbon Footprint</t>
  </si>
  <si>
    <t>HOUSEHOLD ENERGY CONSUMPTION (2015)</t>
  </si>
  <si>
    <t>TRANSPORT ENERGY CONSUMPTION (2015)</t>
  </si>
  <si>
    <t>Energy consumption</t>
  </si>
  <si>
    <t>Total energy consumption</t>
  </si>
  <si>
    <t>Number of inhabitants</t>
  </si>
  <si>
    <t>total energy consumption</t>
  </si>
  <si>
    <t>total emissions</t>
  </si>
  <si>
    <t>emissions per capita</t>
  </si>
  <si>
    <t>ktoe</t>
  </si>
  <si>
    <t>kt CO2</t>
  </si>
  <si>
    <t>For the transport energy consumption it is requested the number of inhabitants of the country</t>
  </si>
  <si>
    <t>All data from passenger transport can be found in IDEES-JRC data</t>
  </si>
  <si>
    <t>kWh</t>
  </si>
  <si>
    <t>Electric emissions</t>
  </si>
  <si>
    <t>kg CO2</t>
  </si>
  <si>
    <t>Thermal emissions</t>
  </si>
  <si>
    <t>Energy emissions</t>
  </si>
  <si>
    <t>Transport consumption</t>
  </si>
  <si>
    <t>Transport emissions</t>
  </si>
  <si>
    <t>LIMITS FOR LEVELS:</t>
  </si>
  <si>
    <t>Units</t>
  </si>
  <si>
    <t>PASSENGER TRANSPORT DATA</t>
  </si>
  <si>
    <t>ROAD TRANSPORT</t>
  </si>
  <si>
    <t>load factor vehicles (p/movement)</t>
  </si>
  <si>
    <t>motor coaches, buses and trolley buses</t>
  </si>
  <si>
    <t>kWh/km</t>
  </si>
  <si>
    <t>powered-2-wheelers</t>
  </si>
  <si>
    <t>passenger cars</t>
  </si>
  <si>
    <t>fuel cars</t>
  </si>
  <si>
    <t>plug-in hybrid-electric</t>
  </si>
  <si>
    <t>battery electric vehicles</t>
  </si>
  <si>
    <t>t CO2/MWh</t>
  </si>
  <si>
    <t>fuel (gasoline, diesel)</t>
  </si>
  <si>
    <t>RAIL, METRO AND TRAM</t>
  </si>
  <si>
    <t>metro, tram and urban light rail</t>
  </si>
  <si>
    <t>electric passenger trains</t>
  </si>
  <si>
    <t>high speed passenger trains</t>
  </si>
  <si>
    <t>vehicle-efficiency (kgoe/100 km)</t>
  </si>
  <si>
    <t>AVIATION</t>
  </si>
  <si>
    <t>MWh/p</t>
  </si>
  <si>
    <t>kg CO2/p</t>
  </si>
  <si>
    <t>JRC data</t>
  </si>
  <si>
    <t xml:space="preserve">Conversion data </t>
  </si>
  <si>
    <t>p/movement</t>
  </si>
  <si>
    <t>kgoe/100 km</t>
  </si>
  <si>
    <t>vehicle-efficiency-effective</t>
  </si>
  <si>
    <t>kt CO2/ktoe</t>
  </si>
  <si>
    <t>emission factor</t>
  </si>
  <si>
    <t>All imported data should be from IDEES-JRC (2015). Exception: *</t>
  </si>
  <si>
    <t>electricity*</t>
  </si>
  <si>
    <t>g CO2/km</t>
  </si>
  <si>
    <t>p/flight</t>
  </si>
  <si>
    <t>load factor flight</t>
  </si>
  <si>
    <t>kgoe/flight</t>
  </si>
  <si>
    <t>kg CO2/flight</t>
  </si>
  <si>
    <t>CO2 emissions</t>
  </si>
  <si>
    <t>energy consumption</t>
  </si>
  <si>
    <t>*Electricity emission factor should be provided by the country</t>
  </si>
  <si>
    <t>Also to note: it is requested the most recent data possible</t>
  </si>
  <si>
    <t>Occupancy factor for public transport</t>
  </si>
  <si>
    <t>A normal distribution is done with the average number of persons per movement</t>
  </si>
  <si>
    <t>almost empty</t>
  </si>
  <si>
    <t>%</t>
  </si>
  <si>
    <t>average</t>
  </si>
  <si>
    <t>nearly full</t>
  </si>
  <si>
    <t>type of vehicle</t>
  </si>
  <si>
    <t>bus</t>
  </si>
  <si>
    <t>metro, tram</t>
  </si>
  <si>
    <t>electric trains</t>
  </si>
  <si>
    <t>high speed trains</t>
  </si>
  <si>
    <t>kWh/100km</t>
  </si>
  <si>
    <t>BUS</t>
  </si>
  <si>
    <t>ELECTRIC CARS</t>
  </si>
  <si>
    <t>HYBRID CARS</t>
  </si>
  <si>
    <t>As in JRC data, there is only information from electric vehicles, not for electric motorcycles, bikes or scooters, in Weiss et al. (2020) paper there is information for these vehicles but data is not in accordance to electric car data from JRC.</t>
  </si>
  <si>
    <t>So, a relation between these data is done, and applied to calculate the energy consumption from JRC electric car data</t>
  </si>
  <si>
    <t>Weiss et al. (2020) data:</t>
  </si>
  <si>
    <t>vehicle relation</t>
  </si>
  <si>
    <t>JRC (EU)</t>
  </si>
  <si>
    <t>electric consumption</t>
  </si>
  <si>
    <t>electric cons</t>
  </si>
  <si>
    <t>electric car</t>
  </si>
  <si>
    <t>(electric car ref.)</t>
  </si>
  <si>
    <t>e motorcycle</t>
  </si>
  <si>
    <t>e bike</t>
  </si>
  <si>
    <t>e scooter</t>
  </si>
  <si>
    <t>ELECTRIC PASSENGER TRAINS</t>
  </si>
  <si>
    <t>HIGH SPEED TRAINS</t>
  </si>
  <si>
    <t>data needed for the calculation:</t>
  </si>
  <si>
    <t>L fuel/100km</t>
  </si>
  <si>
    <t>an increase of 1 kg means:</t>
  </si>
  <si>
    <t>Emission Factor (EF):</t>
  </si>
  <si>
    <t>g CO2/kWh</t>
  </si>
  <si>
    <t>Number of passengers</t>
  </si>
  <si>
    <t>reference mass:</t>
  </si>
  <si>
    <t>kg</t>
  </si>
  <si>
    <t>according to literature</t>
  </si>
  <si>
    <t>Increase in reference mass (kg)</t>
  </si>
  <si>
    <t>Increase in fuel consumption (kWh/km)</t>
  </si>
  <si>
    <t>Vehicle fuel consumption (kWh/km)</t>
  </si>
  <si>
    <t>Fuel consumption per passenger (kWh/p-km)</t>
  </si>
  <si>
    <t>Emissions per passenger (g CO2/p-km)</t>
  </si>
  <si>
    <t>Increase in emissions (g CO2/km)</t>
  </si>
  <si>
    <t>Emissions per vehicle (g CO2/km)</t>
  </si>
  <si>
    <t>FUEL CARS</t>
  </si>
  <si>
    <t>MOTORCYCLES</t>
  </si>
  <si>
    <t>CONSUMPTION AND EMISSIONS IN FUEL TRANSPORT DATA ACCORDING TO NUMBER OF PASSENGERS</t>
  </si>
  <si>
    <t>CONSUMPTION AND EMISSIONS IN ELECTRIC TRANSPORT DATA ACCORDING TO NUMBER OF PASSENGERS</t>
  </si>
  <si>
    <t>ELECTRIC MOTORCYCLES</t>
  </si>
  <si>
    <t>ELECTRIC BIKES</t>
  </si>
  <si>
    <t>ELECTRIC SCOOTERS</t>
  </si>
  <si>
    <t>METRO TRAM</t>
  </si>
  <si>
    <t>Electric consump per passenger (kWh/p-km)</t>
  </si>
  <si>
    <t>Vehicle electric consump (kWh/km)</t>
  </si>
  <si>
    <t>Increase in electric consump (kWh/km)</t>
  </si>
  <si>
    <t>Electricity Emission Factor (EF):</t>
  </si>
  <si>
    <t>For hybrid cars:</t>
  </si>
  <si>
    <t>Fuel EF:</t>
  </si>
  <si>
    <t>(approximation of 50%fuel and 50%electricity is done)</t>
  </si>
  <si>
    <t>EMISSIONS*</t>
  </si>
  <si>
    <t>*calculated by Zhe in "comparison..." excel</t>
  </si>
  <si>
    <t>1a</t>
  </si>
  <si>
    <t>1b</t>
  </si>
  <si>
    <t>energy:</t>
  </si>
  <si>
    <t>transport:</t>
  </si>
  <si>
    <t>TOTAL</t>
  </si>
  <si>
    <t>MWh</t>
  </si>
  <si>
    <t>t CO2</t>
  </si>
  <si>
    <t>diesel passenger trains</t>
  </si>
  <si>
    <t>diesel trains</t>
  </si>
  <si>
    <t>DIESEL TRAINS</t>
  </si>
  <si>
    <t>diesel trains:</t>
  </si>
  <si>
    <t>aviation included</t>
  </si>
  <si>
    <t>PETROL EF</t>
  </si>
  <si>
    <t>EF for alternative fuel (g CO2/kWh)</t>
  </si>
  <si>
    <t>EF default buses (g CO2/kWh)</t>
  </si>
  <si>
    <t>ELECTRICALLY RECHARGABLE BUS</t>
  </si>
  <si>
    <t>HYBRID ELECTRIC BUSES</t>
  </si>
  <si>
    <t>ALTERNATIVE FUEL BUSES</t>
  </si>
  <si>
    <t>DIESEL BUSES</t>
  </si>
  <si>
    <t>DEFAULT BUSES</t>
  </si>
  <si>
    <t>Type of bus</t>
  </si>
  <si>
    <t>% fuel used for buses</t>
  </si>
  <si>
    <t>EF for default buses:</t>
  </si>
  <si>
    <t>Electrically chargeable</t>
  </si>
  <si>
    <t>Hybrid electric</t>
  </si>
  <si>
    <t>Alternative fuels</t>
  </si>
  <si>
    <t>EF for alternative fuel buses:</t>
  </si>
  <si>
    <t>Petrol</t>
  </si>
  <si>
    <t>Diesel</t>
  </si>
  <si>
    <t>Fuels for buses</t>
  </si>
  <si>
    <t>EF (t CO2/MWh)</t>
  </si>
  <si>
    <t>Electricity</t>
  </si>
  <si>
    <t>Fuel*</t>
  </si>
  <si>
    <t>Natural gas</t>
  </si>
  <si>
    <t>LPG</t>
  </si>
  <si>
    <t>Biofuels</t>
  </si>
  <si>
    <t>*fuel EF: average for petrol and diesel</t>
  </si>
  <si>
    <t>VEHICLE</t>
  </si>
  <si>
    <t>ENERGY CONSUMPTION PER VEHICLE</t>
  </si>
  <si>
    <t>EMISSIONS PER VEHICLE</t>
  </si>
  <si>
    <t>EF</t>
  </si>
  <si>
    <t>(kWh/vehicle-km)</t>
  </si>
  <si>
    <t>ELECTRIC BUS</t>
  </si>
  <si>
    <t>Diesel train</t>
  </si>
  <si>
    <t>DIESEL BUS</t>
  </si>
  <si>
    <t>Alternative fuel</t>
  </si>
  <si>
    <t>ALTERNATIVE FUEL BUS</t>
  </si>
  <si>
    <t>Default buses</t>
  </si>
  <si>
    <t>ELECTRIC TRAINS</t>
  </si>
  <si>
    <t>METRO</t>
  </si>
  <si>
    <t>LEVEL OF OCCUPANCY</t>
  </si>
  <si>
    <t>ENERGY CONSUMPTION PER PASSENGER</t>
  </si>
  <si>
    <t>EMISSIONS PER PASSENGER</t>
  </si>
  <si>
    <t>(kWh/p-km)</t>
  </si>
  <si>
    <t>HYBRID-ELECTRIC BUS</t>
  </si>
  <si>
    <t>Hybrid-electric EF</t>
  </si>
  <si>
    <t>(kg CO2/p-km)</t>
  </si>
  <si>
    <t>(kg CO2/vehicle-km)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</si>
</sst>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00"/>
    <numFmt numFmtId="165" formatCode="0.000"/>
    <numFmt numFmtId="166" formatCode="0.00000"/>
  </numFmts>
  <fonts count="3" x14ac:knownFonts="1">
    <font>
      <sz val="11"/>
      <color theme="1"/>
      <name val="Calibri"/>
      <family val="2"/>
      <scheme val="minor"/>
    </font>
    <font>
      <b/>
      <sz val="11"/>
      <color theme="1"/>
      <name val="Calibri"/>
      <family val="2"/>
      <scheme val="minor"/>
    </font>
    <font>
      <sz val="11"/>
      <color rgb="FF006100"/>
      <name val="Calibri"/>
      <family val="2"/>
      <scheme val="minor"/>
    </font>
  </fonts>
  <fills count="6">
    <fill>
      <patternFill patternType="none"/>
    </fill>
    <fill>
      <patternFill patternType="gray125"/>
    </fill>
    <fill>
      <patternFill patternType="solid">
        <fgColor theme="9" tint="0.59999389629810485"/>
        <bgColor indexed="64"/>
      </patternFill>
    </fill>
    <fill>
      <patternFill patternType="solid">
        <fgColor theme="7" tint="0.59999389629810485"/>
        <bgColor indexed="64"/>
      </patternFill>
    </fill>
    <fill>
      <patternFill patternType="solid">
        <fgColor theme="0" tint="-0.14999847407452621"/>
        <bgColor indexed="64"/>
      </patternFill>
    </fill>
    <fill>
      <patternFill patternType="solid">
        <fgColor rgb="FFC6EFCE"/>
      </patternFill>
    </fill>
  </fills>
  <borders count="29">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bottom style="medium">
        <color indexed="64"/>
      </bottom>
      <diagonal/>
    </border>
    <border>
      <left/>
      <right style="medium">
        <color indexed="64"/>
      </right>
      <top style="thin">
        <color indexed="64"/>
      </top>
      <bottom/>
      <diagonal/>
    </border>
  </borders>
  <cellStyleXfs count="2">
    <xf numFmtId="0" fontId="0" fillId="0" borderId="0"/>
    <xf numFmtId="0" fontId="2" fillId="5" borderId="0" applyNumberFormat="0" applyBorder="0" applyAlignment="0" applyProtection="0"/>
  </cellStyleXfs>
  <cellXfs count="104">
    <xf numFmtId="0" fontId="0" fillId="0" borderId="0" xfId="0"/>
    <xf numFmtId="0" fontId="0" fillId="0" borderId="1" xfId="0" applyBorder="1"/>
    <xf numFmtId="0" fontId="0" fillId="2" borderId="1" xfId="0" applyFill="1" applyBorder="1"/>
    <xf numFmtId="0" fontId="0" fillId="0" borderId="1" xfId="0" applyBorder="1" applyAlignment="1">
      <alignment horizontal="center"/>
    </xf>
    <xf numFmtId="0" fontId="0" fillId="0" borderId="1" xfId="0" applyBorder="1" applyAlignment="1"/>
    <xf numFmtId="0" fontId="0" fillId="3" borderId="0" xfId="0" applyFill="1"/>
    <xf numFmtId="0" fontId="0" fillId="3" borderId="1" xfId="0" applyFill="1" applyBorder="1"/>
    <xf numFmtId="0" fontId="0" fillId="3" borderId="3" xfId="0" applyFill="1" applyBorder="1"/>
    <xf numFmtId="0" fontId="0" fillId="0" borderId="0" xfId="0" applyBorder="1"/>
    <xf numFmtId="0" fontId="0" fillId="0" borderId="6" xfId="0" applyBorder="1"/>
    <xf numFmtId="0" fontId="0" fillId="0" borderId="7" xfId="0" applyBorder="1"/>
    <xf numFmtId="0" fontId="0" fillId="0" borderId="9" xfId="0" applyBorder="1"/>
    <xf numFmtId="0" fontId="0" fillId="0" borderId="10" xfId="0" applyBorder="1"/>
    <xf numFmtId="0" fontId="0" fillId="0" borderId="12" xfId="0" applyBorder="1"/>
    <xf numFmtId="0" fontId="0" fillId="0" borderId="13" xfId="0" applyBorder="1"/>
    <xf numFmtId="0" fontId="0" fillId="0" borderId="14" xfId="0" applyBorder="1"/>
    <xf numFmtId="0" fontId="0" fillId="0" borderId="0" xfId="0" applyAlignment="1"/>
    <xf numFmtId="1" fontId="0" fillId="2" borderId="1" xfId="0" applyNumberFormat="1" applyFill="1" applyBorder="1"/>
    <xf numFmtId="1" fontId="0" fillId="0" borderId="1" xfId="0" applyNumberFormat="1" applyBorder="1"/>
    <xf numFmtId="0" fontId="0" fillId="0" borderId="22" xfId="0" applyBorder="1"/>
    <xf numFmtId="0" fontId="0" fillId="0" borderId="23" xfId="0" applyBorder="1"/>
    <xf numFmtId="0" fontId="0" fillId="0" borderId="24" xfId="0" applyBorder="1"/>
    <xf numFmtId="0" fontId="0" fillId="0" borderId="25" xfId="0" applyBorder="1"/>
    <xf numFmtId="0" fontId="0" fillId="0" borderId="16" xfId="0" applyBorder="1"/>
    <xf numFmtId="0" fontId="0" fillId="0" borderId="28" xfId="0" applyBorder="1"/>
    <xf numFmtId="0" fontId="0" fillId="0" borderId="25" xfId="0" applyFill="1" applyBorder="1"/>
    <xf numFmtId="0" fontId="0" fillId="0" borderId="1" xfId="0" applyFill="1" applyBorder="1"/>
    <xf numFmtId="164" fontId="0" fillId="2" borderId="1" xfId="0" applyNumberFormat="1" applyFill="1" applyBorder="1"/>
    <xf numFmtId="165" fontId="0" fillId="2" borderId="1" xfId="0" applyNumberFormat="1" applyFill="1" applyBorder="1"/>
    <xf numFmtId="2" fontId="0" fillId="2" borderId="1" xfId="0" applyNumberFormat="1" applyFill="1" applyBorder="1"/>
    <xf numFmtId="164" fontId="0" fillId="0" borderId="1" xfId="0" applyNumberFormat="1" applyBorder="1"/>
    <xf numFmtId="0" fontId="2" fillId="5" borderId="0" xfId="1"/>
    <xf numFmtId="0" fontId="2" fillId="5" borderId="11" xfId="1" applyBorder="1" applyAlignment="1"/>
    <xf numFmtId="0" fontId="2" fillId="5" borderId="11" xfId="1" applyBorder="1"/>
    <xf numFmtId="166" fontId="0" fillId="0" borderId="1" xfId="0" applyNumberFormat="1" applyBorder="1"/>
    <xf numFmtId="1" fontId="0" fillId="2" borderId="10" xfId="0" applyNumberFormat="1" applyFill="1" applyBorder="1"/>
    <xf numFmtId="9" fontId="0" fillId="0" borderId="0" xfId="0" applyNumberFormat="1"/>
    <xf numFmtId="1" fontId="0" fillId="0" borderId="0" xfId="0" applyNumberFormat="1"/>
    <xf numFmtId="0" fontId="1" fillId="0" borderId="1" xfId="0" applyFont="1" applyBorder="1" applyAlignment="1">
      <alignment horizontal="left"/>
    </xf>
    <xf numFmtId="0" fontId="0" fillId="0" borderId="0" xfId="0" applyFill="1" applyBorder="1"/>
    <xf numFmtId="11" fontId="0" fillId="0" borderId="0" xfId="0" applyNumberFormat="1"/>
    <xf numFmtId="0" fontId="0" fillId="0" borderId="0" xfId="0" applyAlignment="1">
      <alignment vertical="center" wrapText="1"/>
    </xf>
    <xf numFmtId="0" fontId="1" fillId="0" borderId="0" xfId="0" applyFont="1" applyAlignment="1">
      <alignment vertical="center" wrapText="1"/>
    </xf>
    <xf numFmtId="0" fontId="1" fillId="0" borderId="25" xfId="0" applyFont="1" applyBorder="1"/>
    <xf numFmtId="0" fontId="0" fillId="0" borderId="8" xfId="0" applyBorder="1" applyAlignment="1">
      <alignment horizontal="left"/>
    </xf>
    <xf numFmtId="0" fontId="0" fillId="0" borderId="2" xfId="0" applyBorder="1" applyAlignment="1">
      <alignment horizontal="left"/>
    </xf>
    <xf numFmtId="0" fontId="0" fillId="0" borderId="9" xfId="0" applyBorder="1" applyAlignment="1">
      <alignment horizontal="left"/>
    </xf>
    <xf numFmtId="0" fontId="0" fillId="0" borderId="6" xfId="0" applyBorder="1" applyAlignment="1">
      <alignment horizontal="left" wrapText="1"/>
    </xf>
    <xf numFmtId="0" fontId="0" fillId="0" borderId="0" xfId="0" applyBorder="1" applyAlignment="1">
      <alignment horizontal="left" wrapText="1"/>
    </xf>
    <xf numFmtId="0" fontId="0" fillId="0" borderId="7" xfId="0" applyBorder="1" applyAlignment="1">
      <alignment horizontal="left" wrapText="1"/>
    </xf>
    <xf numFmtId="0" fontId="0" fillId="0" borderId="1" xfId="0" applyBorder="1" applyAlignment="1">
      <alignment horizontal="center" vertical="center" wrapText="1"/>
    </xf>
    <xf numFmtId="0" fontId="0" fillId="0" borderId="6" xfId="0" applyBorder="1" applyAlignment="1">
      <alignment horizontal="left"/>
    </xf>
    <xf numFmtId="0" fontId="0" fillId="0" borderId="0" xfId="0" applyBorder="1" applyAlignment="1">
      <alignment horizontal="left"/>
    </xf>
    <xf numFmtId="0" fontId="0" fillId="0" borderId="7" xfId="0" applyBorder="1" applyAlignment="1">
      <alignment horizontal="left"/>
    </xf>
    <xf numFmtId="0" fontId="0" fillId="2" borderId="4" xfId="0" applyFill="1" applyBorder="1" applyAlignment="1">
      <alignment horizontal="center"/>
    </xf>
    <xf numFmtId="0" fontId="0" fillId="2" borderId="5" xfId="0" applyFill="1" applyBorder="1" applyAlignment="1">
      <alignment horizontal="center"/>
    </xf>
    <xf numFmtId="0" fontId="0" fillId="0" borderId="1" xfId="0" applyBorder="1" applyAlignment="1">
      <alignment horizontal="center" wrapText="1"/>
    </xf>
    <xf numFmtId="0" fontId="1" fillId="0" borderId="1" xfId="0" applyFont="1" applyBorder="1" applyAlignment="1">
      <alignment horizontal="left"/>
    </xf>
    <xf numFmtId="0" fontId="0" fillId="0" borderId="16" xfId="0" applyBorder="1" applyAlignment="1">
      <alignment horizontal="left"/>
    </xf>
    <xf numFmtId="0" fontId="0" fillId="0" borderId="17" xfId="0" applyBorder="1" applyAlignment="1">
      <alignment horizontal="left"/>
    </xf>
    <xf numFmtId="0" fontId="0" fillId="0" borderId="18" xfId="0" applyBorder="1" applyAlignment="1">
      <alignment horizontal="left"/>
    </xf>
    <xf numFmtId="0" fontId="0" fillId="0" borderId="1" xfId="0" applyBorder="1" applyAlignment="1">
      <alignment horizontal="center"/>
    </xf>
    <xf numFmtId="0" fontId="1" fillId="0" borderId="3" xfId="0" applyFont="1" applyBorder="1" applyAlignment="1">
      <alignment horizontal="center"/>
    </xf>
    <xf numFmtId="0" fontId="1" fillId="0" borderId="4" xfId="0" applyFont="1" applyBorder="1" applyAlignment="1">
      <alignment horizontal="center"/>
    </xf>
    <xf numFmtId="0" fontId="1" fillId="0" borderId="5" xfId="0" applyFont="1" applyBorder="1" applyAlignment="1">
      <alignment horizontal="center"/>
    </xf>
    <xf numFmtId="0" fontId="1" fillId="0" borderId="3" xfId="0" applyFont="1" applyBorder="1" applyAlignment="1">
      <alignment horizontal="left"/>
    </xf>
    <xf numFmtId="0" fontId="1" fillId="0" borderId="4" xfId="0" applyFont="1" applyBorder="1" applyAlignment="1">
      <alignment horizontal="left"/>
    </xf>
    <xf numFmtId="0" fontId="1" fillId="0" borderId="5" xfId="0" applyFont="1" applyBorder="1" applyAlignment="1">
      <alignment horizontal="left"/>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0" xfId="0" applyBorder="1" applyAlignment="1">
      <alignment horizontal="center" vertical="center" wrapText="1"/>
    </xf>
    <xf numFmtId="0" fontId="0" fillId="0" borderId="15" xfId="0" applyBorder="1" applyAlignment="1">
      <alignment horizontal="center" vertical="center"/>
    </xf>
    <xf numFmtId="0" fontId="0" fillId="0" borderId="11" xfId="0" applyBorder="1" applyAlignment="1">
      <alignment horizontal="center" vertical="center"/>
    </xf>
    <xf numFmtId="0" fontId="0" fillId="0" borderId="10" xfId="0" applyBorder="1" applyAlignment="1">
      <alignment horizontal="center" vertical="center"/>
    </xf>
    <xf numFmtId="0" fontId="0" fillId="0" borderId="1" xfId="0" applyBorder="1" applyAlignment="1">
      <alignment horizontal="center" vertical="center"/>
    </xf>
    <xf numFmtId="0" fontId="1" fillId="0" borderId="1" xfId="0" applyFont="1" applyBorder="1" applyAlignment="1">
      <alignment horizontal="center"/>
    </xf>
    <xf numFmtId="0" fontId="0" fillId="0" borderId="3" xfId="0" applyBorder="1" applyAlignment="1">
      <alignment horizontal="right"/>
    </xf>
    <xf numFmtId="0" fontId="0" fillId="0" borderId="4" xfId="0" applyBorder="1" applyAlignment="1">
      <alignment horizontal="right"/>
    </xf>
    <xf numFmtId="0" fontId="0" fillId="0" borderId="5" xfId="0" applyBorder="1" applyAlignment="1">
      <alignment horizontal="right"/>
    </xf>
    <xf numFmtId="0" fontId="0" fillId="0" borderId="3" xfId="0" applyBorder="1"/>
    <xf numFmtId="0" fontId="0" fillId="0" borderId="5" xfId="0" applyBorder="1"/>
    <xf numFmtId="0" fontId="1" fillId="4" borderId="1" xfId="0" applyFont="1" applyFill="1" applyBorder="1" applyAlignment="1">
      <alignment horizontal="left"/>
    </xf>
    <xf numFmtId="0" fontId="0" fillId="0" borderId="1" xfId="0" applyBorder="1" applyAlignment="1">
      <alignment horizontal="right"/>
    </xf>
    <xf numFmtId="0" fontId="0" fillId="0" borderId="3" xfId="0" applyBorder="1" applyAlignment="1">
      <alignment horizontal="center" wrapText="1"/>
    </xf>
    <xf numFmtId="0" fontId="0" fillId="0" borderId="10" xfId="0" applyBorder="1" applyAlignment="1">
      <alignment horizontal="center"/>
    </xf>
    <xf numFmtId="0" fontId="1" fillId="0" borderId="19" xfId="0" applyFont="1" applyBorder="1" applyAlignment="1">
      <alignment horizontal="center"/>
    </xf>
    <xf numFmtId="0" fontId="1" fillId="0" borderId="20" xfId="0" applyFont="1" applyBorder="1" applyAlignment="1">
      <alignment horizontal="center"/>
    </xf>
    <xf numFmtId="0" fontId="1" fillId="0" borderId="21" xfId="0" applyFont="1" applyBorder="1" applyAlignment="1">
      <alignment horizontal="center"/>
    </xf>
    <xf numFmtId="0" fontId="0" fillId="0" borderId="22" xfId="0" applyBorder="1" applyAlignment="1">
      <alignment horizontal="center" vertical="center"/>
    </xf>
    <xf numFmtId="0" fontId="0" fillId="0" borderId="0" xfId="0" applyAlignment="1">
      <alignment horizontal="center" vertical="center" wrapText="1"/>
    </xf>
    <xf numFmtId="0" fontId="0" fillId="0" borderId="23" xfId="0" applyBorder="1" applyAlignment="1">
      <alignment horizontal="left" wrapText="1"/>
    </xf>
    <xf numFmtId="0" fontId="0" fillId="0" borderId="27" xfId="0" applyBorder="1" applyAlignment="1">
      <alignment horizontal="left" wrapText="1"/>
    </xf>
    <xf numFmtId="0" fontId="0" fillId="0" borderId="26" xfId="0" applyBorder="1" applyAlignment="1">
      <alignment horizontal="left" wrapText="1"/>
    </xf>
    <xf numFmtId="0" fontId="0" fillId="0" borderId="0" xfId="0" applyBorder="1" applyAlignment="1">
      <alignment horizontal="center" vertical="center" wrapText="1"/>
    </xf>
    <xf numFmtId="0" fontId="0" fillId="0" borderId="3" xfId="0" applyFill="1" applyBorder="1" applyAlignment="1">
      <alignment horizontal="right"/>
    </xf>
    <xf numFmtId="0" fontId="0" fillId="0" borderId="5" xfId="0" applyFill="1" applyBorder="1" applyAlignment="1">
      <alignment horizontal="right"/>
    </xf>
    <xf numFmtId="0" fontId="0" fillId="0" borderId="3" xfId="0" applyBorder="1" applyAlignment="1"/>
    <xf numFmtId="0" fontId="0" fillId="0" borderId="5" xfId="0" applyBorder="1" applyAlignment="1"/>
    <xf numFmtId="0" fontId="0" fillId="0" borderId="1" xfId="0" applyFill="1" applyBorder="1" applyAlignment="1">
      <alignment horizontal="right"/>
    </xf>
    <xf numFmtId="0" fontId="1" fillId="4" borderId="3" xfId="0" applyFont="1" applyFill="1" applyBorder="1" applyAlignment="1">
      <alignment horizontal="left"/>
    </xf>
    <xf numFmtId="0" fontId="1" fillId="4" borderId="4" xfId="0" applyFont="1" applyFill="1" applyBorder="1" applyAlignment="1">
      <alignment horizontal="left"/>
    </xf>
    <xf numFmtId="0" fontId="1" fillId="4" borderId="5" xfId="0" applyFont="1" applyFill="1" applyBorder="1" applyAlignment="1">
      <alignment horizontal="left"/>
    </xf>
    <xf numFmtId="0" fontId="0" fillId="0" borderId="15" xfId="0" applyBorder="1" applyAlignment="1">
      <alignment horizontal="center"/>
    </xf>
    <xf numFmtId="0" fontId="0" fillId="0" borderId="11" xfId="0" applyBorder="1" applyAlignment="1">
      <alignment horizontal="center"/>
    </xf>
  </cellXfs>
  <cellStyles count="2">
    <cellStyle name="Bueno" xfId="1" builtinId="26"/>
    <cellStyle name="Normal" xfId="0" builtinId="0"/>
  </cellStyles>
  <dxfs count="2">
    <dxf>
      <numFmt numFmtId="0" formatCode="General"/>
    </dxf>
    <dxf>
      <numFmt numFmtId="1" formatCode="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4.xml"/><Relationship Id="rId1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3.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externalLink" Target="externalLinks/externalLink1.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ab28b4aa0758e9db/Desktop/Next%20six%20month%20planning/T1.2.1%20(WP1)/IDEES-JRC/JRC-IDEES-2015_All_xlsx_HU/JRC-IDEES-2015_Residential_HU.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ab28b4aa0758e9db/Desktop/Next%20six%20month%20planning/T1.2.1%20(WP1)/IDEES-JRC/JRC-IDEES-2015_All_xlsx_HU/JRC-IDEES-2015_Transport_HU.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EU%20calculations%20for%20energy%20consumption%20and%20emissions.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DK%20calculations%20for%20energy%20consumption%20and%20emission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 val="index"/>
      <sheetName val="RES_summary"/>
      <sheetName val="RES_hh_num"/>
      <sheetName val="RES_hh_fec"/>
      <sheetName val="RES_hh_tes"/>
      <sheetName val="RES_hh_eff"/>
      <sheetName val="RES_hh_emi"/>
      <sheetName val="RES_hh_fech"/>
      <sheetName val="RES_hh_tesh"/>
      <sheetName val="RES_hh_emih"/>
      <sheetName val="RES_hh_fecs"/>
      <sheetName val="RES_hh_tess"/>
      <sheetName val="RES_hh_emis"/>
      <sheetName val="RES_hh_num_in"/>
      <sheetName val="RES_hh_fec_in"/>
      <sheetName val="RES_hh_tes_in"/>
      <sheetName val="RES_hh_eff_in"/>
      <sheetName val="RES_hh_emi_in"/>
      <sheetName val="RES_hh_fech_in"/>
      <sheetName val="RES_hh_tesh_in"/>
      <sheetName val="RES_hh_emih_in"/>
      <sheetName val="RES_hh_fecs_in"/>
      <sheetName val="RES_hh_tess_in"/>
      <sheetName val="RES_hh_emis_in"/>
      <sheetName val="RES_se-appl"/>
      <sheetName val="RES_RF"/>
      <sheetName val="RES_WM"/>
      <sheetName val="RES_DR"/>
      <sheetName val="RES_DW"/>
      <sheetName val="RES_TV"/>
      <sheetName val="RES_IT"/>
      <sheetName val="RES_LI"/>
      <sheetName val="RES_OA"/>
      <sheetName val="RES_hhdet_num"/>
      <sheetName val="RES_hhdet_out"/>
      <sheetName val="RES_hhdet_in"/>
      <sheetName val="RES_hhdet_in_new"/>
      <sheetName val="RES_hhdet_in_repl"/>
      <sheetName val="RES_hhdet_numvin"/>
      <sheetName val="RES_hhdet_fec"/>
      <sheetName val="RES_hhdet_tes"/>
      <sheetName val="RES_hhdet_eff"/>
      <sheetName val="RES_hhdet_emi"/>
      <sheetName val="RES_hhdet_fech"/>
      <sheetName val="RES_hhdet_tesh"/>
      <sheetName val="RES_hhdet_emih"/>
      <sheetName val="RES_hhdet_fecs"/>
      <sheetName val="RES_hhdet_tess"/>
      <sheetName val="RES_hhdet_emis"/>
      <sheetName val="RES_hhdet_in_fec"/>
      <sheetName val="RES_hhdet_in_tes"/>
      <sheetName val="RES_hhdet_in_eff"/>
      <sheetName val="RES_hhdet_in_emi"/>
      <sheetName val="RES_hhdet_in_fech"/>
      <sheetName val="RES_hhdet_in_tesh"/>
      <sheetName val="RES_hhdet_in_emih"/>
      <sheetName val="RES_hhdet_in_fecs"/>
      <sheetName val="RES_hhdet_in_tess"/>
      <sheetName val="RES_hhdet_in_emis"/>
      <sheetName val="RES_hh_SLD"/>
      <sheetName val="RES_hh_LPG"/>
      <sheetName val="RES_hh_GDO"/>
      <sheetName val="RES_hh_NGS"/>
      <sheetName val="RES_hh_BMS"/>
      <sheetName val="RES_hh_GEO"/>
      <sheetName val="RES_hh_DHT"/>
      <sheetName val="RES_hh_AEL"/>
      <sheetName val="RES_hh_CEL"/>
    </sheetNames>
    <sheetDataSet>
      <sheetData sheetId="0"/>
      <sheetData sheetId="1"/>
      <sheetData sheetId="2">
        <row r="157">
          <cell r="Q157">
            <v>6465.2178031175226</v>
          </cell>
        </row>
        <row r="162">
          <cell r="Q162">
            <v>561.70817622606</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 val="index"/>
      <sheetName val="Transport"/>
      <sheetName val="TrRoad_act"/>
      <sheetName val="TrRoad_ene"/>
      <sheetName val="TrRoad_emi"/>
      <sheetName val="TrRoad_tech"/>
      <sheetName val="TrRail_act"/>
      <sheetName val="TrRail_ene"/>
      <sheetName val="TrRail_emi"/>
      <sheetName val="TrAvia_act"/>
      <sheetName val="TrAvia_ene"/>
      <sheetName val="TrAvia_emi"/>
      <sheetName val="TrAvia_png"/>
      <sheetName val="TrNavi_act"/>
      <sheetName val="TrNavi_ene"/>
      <sheetName val="TrNavi_emi"/>
    </sheetNames>
    <sheetDataSet>
      <sheetData sheetId="0" refreshError="1"/>
      <sheetData sheetId="1" refreshError="1"/>
      <sheetData sheetId="2">
        <row r="30">
          <cell r="Q30">
            <v>2659.1742759318663</v>
          </cell>
        </row>
        <row r="56">
          <cell r="Q56">
            <v>7418.5040000087311</v>
          </cell>
        </row>
      </sheetData>
      <sheetData sheetId="3">
        <row r="150">
          <cell r="Q150">
            <v>26.634931293829165</v>
          </cell>
        </row>
      </sheetData>
      <sheetData sheetId="4">
        <row r="62">
          <cell r="Q62">
            <v>4.2762537128241975</v>
          </cell>
        </row>
        <row r="64">
          <cell r="Q64">
            <v>7.1077118620704756</v>
          </cell>
        </row>
        <row r="65">
          <cell r="Q65">
            <v>5.9320599233161344</v>
          </cell>
        </row>
        <row r="68">
          <cell r="Q68">
            <v>2.8981782099038704</v>
          </cell>
        </row>
        <row r="69">
          <cell r="Q69">
            <v>3.0796400391464274</v>
          </cell>
        </row>
        <row r="70">
          <cell r="Q70">
            <v>56.458273333706366</v>
          </cell>
        </row>
      </sheetData>
      <sheetData sheetId="5">
        <row r="48">
          <cell r="Q48">
            <v>2.8082619333515368</v>
          </cell>
        </row>
        <row r="49">
          <cell r="Q49">
            <v>2.9464297592263438</v>
          </cell>
        </row>
      </sheetData>
      <sheetData sheetId="6" refreshError="1"/>
      <sheetData sheetId="7">
        <row r="62">
          <cell r="Q62">
            <v>76.003254499797194</v>
          </cell>
        </row>
        <row r="63">
          <cell r="Q63">
            <v>118.75508515593312</v>
          </cell>
        </row>
      </sheetData>
      <sheetData sheetId="8">
        <row r="31">
          <cell r="Q31">
            <v>43.217751481629726</v>
          </cell>
        </row>
        <row r="33">
          <cell r="Q33">
            <v>186.35068257240877</v>
          </cell>
        </row>
        <row r="34">
          <cell r="Q34">
            <v>143.96458068717723</v>
          </cell>
        </row>
      </sheetData>
      <sheetData sheetId="9" refreshError="1"/>
      <sheetData sheetId="10">
        <row r="69">
          <cell r="Q69">
            <v>126.88688748294257</v>
          </cell>
        </row>
      </sheetData>
      <sheetData sheetId="11">
        <row r="37">
          <cell r="Q37">
            <v>2116.7744901070164</v>
          </cell>
        </row>
      </sheetData>
      <sheetData sheetId="12">
        <row r="41">
          <cell r="Q41">
            <v>6372.1457218944615</v>
          </cell>
        </row>
      </sheetData>
      <sheetData sheetId="13" refreshError="1"/>
      <sheetData sheetId="14" refreshError="1"/>
      <sheetData sheetId="15" refreshError="1"/>
      <sheetData sheetId="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s and emi per capita"/>
      <sheetName val="Label"/>
      <sheetName val="Passenger transport data"/>
      <sheetName val="PUBLIC TRANSPORT"/>
      <sheetName val="BUS"/>
      <sheetName val="bus2"/>
      <sheetName val="Transport c&amp;e fuel vehicles"/>
      <sheetName val="Transport c&amp;e electric vehicles"/>
      <sheetName val="electric veh relation"/>
    </sheetNames>
    <sheetDataSet>
      <sheetData sheetId="0"/>
      <sheetData sheetId="1"/>
      <sheetData sheetId="2">
        <row r="25">
          <cell r="D25">
            <v>19.224390000000003</v>
          </cell>
        </row>
      </sheetData>
      <sheetData sheetId="3"/>
      <sheetData sheetId="4"/>
      <sheetData sheetId="5"/>
      <sheetData sheetId="6"/>
      <sheetData sheetId="7"/>
      <sheetData sheetId="8"/>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s and emi per capita"/>
      <sheetName val="Label"/>
      <sheetName val="Passenger transport data"/>
      <sheetName val="PUBLIC TRANSPORT"/>
      <sheetName val="BUS"/>
      <sheetName val="bus 2"/>
      <sheetName val="Transport c&amp;e fuel vehicles"/>
      <sheetName val="Transport c&amp;e electric vehicles"/>
      <sheetName val="electric veh relation"/>
    </sheetNames>
    <sheetDataSet>
      <sheetData sheetId="0"/>
      <sheetData sheetId="1"/>
      <sheetData sheetId="2"/>
      <sheetData sheetId="3"/>
      <sheetData sheetId="4"/>
      <sheetData sheetId="5"/>
      <sheetData sheetId="6"/>
      <sheetData sheetId="7"/>
      <sheetData sheetId="8"/>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80F2E482-711E-49B3-8535-75702F263C11}" name="Tabla3" displayName="Tabla3" ref="G2:H8" totalsRowShown="0">
  <autoFilter ref="G2:H8" xr:uid="{80F2E482-711E-49B3-8535-75702F263C11}"/>
  <tableColumns count="2">
    <tableColumn id="1" xr3:uid="{86347725-3280-4277-87E5-CC86B593A53A}" name="EF"/>
    <tableColumn id="2" xr3:uid="{39CEBFF2-F680-4E0B-89D0-2694C6C1F341}" name="kg CO2/kWh"/>
  </tableColumns>
  <tableStyleInfo name="TableStyleMedium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D0617377-7AB7-4532-97A9-1E4A10CB0CEC}" name="Tabla4" displayName="Tabla4" ref="A2:C12" totalsRowShown="0">
  <autoFilter ref="A2:C12" xr:uid="{D0617377-7AB7-4532-97A9-1E4A10CB0CEC}"/>
  <tableColumns count="3">
    <tableColumn id="1" xr3:uid="{35DA38F5-4B84-4757-A75E-8A7E49F0EDCF}" name="VEHICLE"/>
    <tableColumn id="2" xr3:uid="{B2DB4AE4-54AF-4354-9383-79397ACD4199}" name="ENERGY CONSUMPTION PER VEHICLE"/>
    <tableColumn id="3" xr3:uid="{7DF557DD-948A-4C04-8583-9EDD3B7A728B}" name="EMISSIONS PER VEHICLE"/>
  </tableColumns>
  <tableStyleInfo name="TableStyleMedium2"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27358BD-8109-4C45-B855-0F2FA356C448}" name="Tabla5" displayName="Tabla5" ref="A14:C52" totalsRowCount="1">
  <autoFilter ref="A14:C51" xr:uid="{027358BD-8109-4C45-B855-0F2FA356C448}"/>
  <tableColumns count="3">
    <tableColumn id="1" xr3:uid="{78FC0499-1A3E-4C77-9437-5258E016A460}" name="LEVEL OF OCCUPANCY" totalsRowDxfId="1"/>
    <tableColumn id="2" xr3:uid="{A773E95A-382A-48CA-8A90-9B876A369684}" name="ENERGY CONSUMPTION PER PASSENGER"/>
    <tableColumn id="3" xr3:uid="{03CD6943-730B-464F-8702-247F220BEA07}" name="EMISSIONS PER PASSENGER"/>
  </tableColumns>
  <tableStyleInfo name="TableStyleMedium2"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44F0C09B-F365-4E41-B58A-517458A5BDA0}" name="Tabla1" displayName="Tabla1" ref="B1:C6" totalsRowShown="0">
  <autoFilter ref="B1:C6" xr:uid="{44F0C09B-F365-4E41-B58A-517458A5BDA0}"/>
  <tableColumns count="2">
    <tableColumn id="1" xr3:uid="{87C34835-08CC-4B7C-B5FB-EF515068C840}" name="Type of bus"/>
    <tableColumn id="2" xr3:uid="{CF17AC15-D869-48E8-9EB0-6AF42793D5A5}" name="% fuel used for buses"/>
  </tableColumns>
  <tableStyleInfo name="TableStyleMedium2"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67FFC076-68B9-4A8A-AB2B-4B22C2210F26}" name="Tabla2" displayName="Tabla2" ref="B9:C16" totalsRowShown="0">
  <autoFilter ref="B9:C16" xr:uid="{67FFC076-68B9-4A8A-AB2B-4B22C2210F26}"/>
  <tableColumns count="2">
    <tableColumn id="1" xr3:uid="{8349AD0C-E4A5-493B-B4C3-EAFAB419C060}" name="Fuels for buses"/>
    <tableColumn id="2" xr3:uid="{D8D8D536-70F2-4DE0-90E1-62371C52387C}" name="EF (t CO2/MWh)" dataDxfId="0">
      <calculatedColumnFormula>'[4]Passenger transport data'!D8</calculatedColumnFormula>
    </tableColumn>
  </tableColumns>
  <tableStyleInfo name="TableStyleMedium2"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table" Target="../tables/table2.xml"/><Relationship Id="rId1" Type="http://schemas.openxmlformats.org/officeDocument/2006/relationships/table" Target="../tables/table1.xml"/></Relationships>
</file>

<file path=xl/worksheets/_rels/sheet5.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table" Target="../tables/table4.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3631F1-40F6-4D94-B32D-BDC64859FE57}">
  <dimension ref="A1:E22"/>
  <sheetViews>
    <sheetView workbookViewId="0">
      <selection activeCell="C4" sqref="C4"/>
    </sheetView>
  </sheetViews>
  <sheetFormatPr baseColWidth="10" defaultRowHeight="14.4" x14ac:dyDescent="0.3"/>
  <cols>
    <col min="1" max="1" width="29.21875" customWidth="1"/>
    <col min="2" max="3" width="21.33203125" customWidth="1"/>
    <col min="4" max="4" width="15.88671875" customWidth="1"/>
    <col min="5" max="5" width="18.88671875" customWidth="1"/>
    <col min="10" max="10" width="14.44140625" customWidth="1"/>
  </cols>
  <sheetData>
    <row r="1" spans="1:5" x14ac:dyDescent="0.3">
      <c r="A1" s="50" t="s">
        <v>16</v>
      </c>
      <c r="B1" s="1" t="s">
        <v>0</v>
      </c>
      <c r="C1" s="4" t="s">
        <v>14</v>
      </c>
      <c r="D1" s="4" t="s">
        <v>15</v>
      </c>
      <c r="E1" s="32" t="s">
        <v>135</v>
      </c>
    </row>
    <row r="2" spans="1:5" x14ac:dyDescent="0.3">
      <c r="A2" s="50"/>
      <c r="B2" s="1" t="s">
        <v>2</v>
      </c>
      <c r="C2" s="1" t="s">
        <v>3</v>
      </c>
      <c r="D2" s="1" t="s">
        <v>4</v>
      </c>
      <c r="E2" s="33" t="s">
        <v>4</v>
      </c>
    </row>
    <row r="3" spans="1:5" x14ac:dyDescent="0.3">
      <c r="A3" s="1" t="s">
        <v>1</v>
      </c>
      <c r="B3" s="6">
        <f>[1]RES_summary!$Q$162</f>
        <v>561.70817622606</v>
      </c>
      <c r="C3" s="6">
        <v>0.27100000000000002</v>
      </c>
      <c r="D3" s="2">
        <f>B3*$C3</f>
        <v>152.22291575726229</v>
      </c>
      <c r="E3" s="31">
        <v>4.3600000000000003</v>
      </c>
    </row>
    <row r="4" spans="1:5" x14ac:dyDescent="0.3">
      <c r="A4" s="1" t="s">
        <v>5</v>
      </c>
      <c r="B4" s="6">
        <f>[1]RES_summary!$Q$157</f>
        <v>6465.2178031175226</v>
      </c>
      <c r="C4" s="6">
        <v>0.20200000000000001</v>
      </c>
      <c r="D4" s="29">
        <f>B4*$C4</f>
        <v>1305.9739962297397</v>
      </c>
      <c r="E4" s="31">
        <v>13.21</v>
      </c>
    </row>
    <row r="5" spans="1:5" x14ac:dyDescent="0.3">
      <c r="A5" s="1" t="s">
        <v>6</v>
      </c>
      <c r="B5" s="2">
        <f>B3+B4</f>
        <v>7026.9259793435831</v>
      </c>
      <c r="C5" s="3" t="s">
        <v>7</v>
      </c>
      <c r="D5" s="29">
        <f>D3+D4</f>
        <v>1458.1969119870018</v>
      </c>
      <c r="E5" s="31">
        <f>E3+E4</f>
        <v>17.57</v>
      </c>
    </row>
    <row r="7" spans="1:5" x14ac:dyDescent="0.3">
      <c r="A7" t="s">
        <v>20</v>
      </c>
      <c r="B7" s="5">
        <v>9855571</v>
      </c>
    </row>
    <row r="8" spans="1:5" x14ac:dyDescent="0.3">
      <c r="A8" s="56" t="s">
        <v>17</v>
      </c>
      <c r="B8" s="1" t="s">
        <v>21</v>
      </c>
      <c r="C8" s="1" t="s">
        <v>0</v>
      </c>
      <c r="D8" s="1" t="s">
        <v>22</v>
      </c>
      <c r="E8" s="1" t="s">
        <v>23</v>
      </c>
    </row>
    <row r="9" spans="1:5" x14ac:dyDescent="0.3">
      <c r="A9" s="56"/>
      <c r="B9" s="1" t="s">
        <v>24</v>
      </c>
      <c r="C9" s="1" t="s">
        <v>2</v>
      </c>
      <c r="D9" s="1" t="s">
        <v>25</v>
      </c>
      <c r="E9" s="1" t="s">
        <v>4</v>
      </c>
    </row>
    <row r="10" spans="1:5" x14ac:dyDescent="0.3">
      <c r="A10" s="1" t="s">
        <v>19</v>
      </c>
      <c r="B10" s="6">
        <f>[2]Transport!$Q$30</f>
        <v>2659.1742759318663</v>
      </c>
      <c r="C10" s="2">
        <f>B10*11630*1000/B7</f>
        <v>3137.9406458628937</v>
      </c>
      <c r="D10" s="6">
        <f>[2]Transport!$Q$56</f>
        <v>7418.5040000087311</v>
      </c>
      <c r="E10" s="2">
        <f>D10*1000000/B7</f>
        <v>752.72188694178465</v>
      </c>
    </row>
    <row r="11" spans="1:5" x14ac:dyDescent="0.3">
      <c r="A11" s="39" t="s">
        <v>142</v>
      </c>
      <c r="B11" s="40">
        <f>B10*11630</f>
        <v>30926196.829087604</v>
      </c>
      <c r="C11" s="40" t="s">
        <v>143</v>
      </c>
      <c r="D11" s="40">
        <f>D10*1000</f>
        <v>7418504.0000087311</v>
      </c>
    </row>
    <row r="13" spans="1:5" x14ac:dyDescent="0.3">
      <c r="A13" s="7" t="s">
        <v>12</v>
      </c>
      <c r="B13" s="54" t="s">
        <v>13</v>
      </c>
      <c r="C13" s="55"/>
    </row>
    <row r="14" spans="1:5" x14ac:dyDescent="0.3">
      <c r="A14" s="51" t="s">
        <v>8</v>
      </c>
      <c r="B14" s="52"/>
      <c r="C14" s="53"/>
    </row>
    <row r="15" spans="1:5" x14ac:dyDescent="0.3">
      <c r="A15" s="51" t="s">
        <v>10</v>
      </c>
      <c r="B15" s="52"/>
      <c r="C15" s="53"/>
    </row>
    <row r="16" spans="1:5" x14ac:dyDescent="0.3">
      <c r="A16" s="51" t="s">
        <v>9</v>
      </c>
      <c r="B16" s="52"/>
      <c r="C16" s="53"/>
    </row>
    <row r="17" spans="1:3" x14ac:dyDescent="0.3">
      <c r="A17" s="51" t="s">
        <v>11</v>
      </c>
      <c r="B17" s="52"/>
      <c r="C17" s="53"/>
    </row>
    <row r="18" spans="1:3" ht="14.4" customHeight="1" x14ac:dyDescent="0.3">
      <c r="A18" s="47" t="s">
        <v>26</v>
      </c>
      <c r="B18" s="48"/>
      <c r="C18" s="49"/>
    </row>
    <row r="19" spans="1:3" x14ac:dyDescent="0.3">
      <c r="A19" s="47"/>
      <c r="B19" s="48"/>
      <c r="C19" s="49"/>
    </row>
    <row r="20" spans="1:3" x14ac:dyDescent="0.3">
      <c r="A20" s="9" t="s">
        <v>27</v>
      </c>
      <c r="B20" s="8"/>
      <c r="C20" s="10"/>
    </row>
    <row r="21" spans="1:3" x14ac:dyDescent="0.3">
      <c r="A21" s="44" t="s">
        <v>136</v>
      </c>
      <c r="B21" s="45"/>
      <c r="C21" s="46"/>
    </row>
    <row r="22" spans="1:3" x14ac:dyDescent="0.3">
      <c r="A22" t="s">
        <v>148</v>
      </c>
    </row>
  </sheetData>
  <mergeCells count="9">
    <mergeCell ref="A21:C21"/>
    <mergeCell ref="A18:C19"/>
    <mergeCell ref="A1:A2"/>
    <mergeCell ref="A14:C14"/>
    <mergeCell ref="A15:C15"/>
    <mergeCell ref="A16:C16"/>
    <mergeCell ref="A17:C17"/>
    <mergeCell ref="B13:C13"/>
    <mergeCell ref="A8:A9"/>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0025DF-7E7C-487E-B91B-3B94540A0560}">
  <dimension ref="A1:H14"/>
  <sheetViews>
    <sheetView workbookViewId="0">
      <selection activeCell="E4" sqref="E4"/>
    </sheetView>
  </sheetViews>
  <sheetFormatPr baseColWidth="10" defaultRowHeight="14.4" x14ac:dyDescent="0.3"/>
  <cols>
    <col min="1" max="1" width="21.109375" customWidth="1"/>
  </cols>
  <sheetData>
    <row r="1" spans="1:8" ht="15" thickBot="1" x14ac:dyDescent="0.35">
      <c r="A1" s="13" t="s">
        <v>35</v>
      </c>
      <c r="B1" s="14">
        <v>0</v>
      </c>
      <c r="C1" s="14" t="s">
        <v>137</v>
      </c>
      <c r="D1" s="14" t="s">
        <v>138</v>
      </c>
      <c r="E1" s="14">
        <v>2</v>
      </c>
      <c r="F1" s="14">
        <v>3</v>
      </c>
      <c r="G1" s="14">
        <v>4</v>
      </c>
      <c r="H1" s="15" t="s">
        <v>36</v>
      </c>
    </row>
    <row r="2" spans="1:8" x14ac:dyDescent="0.3">
      <c r="A2" s="12" t="s">
        <v>1</v>
      </c>
      <c r="B2" s="35">
        <f>0.75*E2</f>
        <v>421.281132169545</v>
      </c>
      <c r="C2" s="35">
        <f>E2*0.9</f>
        <v>505.53735860345404</v>
      </c>
      <c r="D2" s="35">
        <f>0.95*E2</f>
        <v>533.62276741475694</v>
      </c>
      <c r="E2" s="35">
        <f>'Cons and emi per capita'!B3</f>
        <v>561.70817622606</v>
      </c>
      <c r="F2" s="35">
        <f>1.05*E2</f>
        <v>589.79358503736307</v>
      </c>
      <c r="G2" s="35">
        <f>1.25*E2</f>
        <v>702.13522028257501</v>
      </c>
      <c r="H2" s="12" t="s">
        <v>28</v>
      </c>
    </row>
    <row r="3" spans="1:8" x14ac:dyDescent="0.3">
      <c r="A3" s="1" t="s">
        <v>5</v>
      </c>
      <c r="B3" s="35">
        <f t="shared" ref="B3:B4" si="0">0.75*E3</f>
        <v>4848.9133523381424</v>
      </c>
      <c r="C3" s="35">
        <f t="shared" ref="C3:C4" si="1">E3*0.9</f>
        <v>5818.6960228057706</v>
      </c>
      <c r="D3" s="35">
        <f t="shared" ref="D3:D9" si="2">0.95*E3</f>
        <v>6141.9569129616466</v>
      </c>
      <c r="E3" s="17">
        <f>'Cons and emi per capita'!B4</f>
        <v>6465.2178031175226</v>
      </c>
      <c r="F3" s="35">
        <f t="shared" ref="F3:F9" si="3">1.05*E3</f>
        <v>6788.4786932733987</v>
      </c>
      <c r="G3" s="35">
        <f t="shared" ref="G3:G4" si="4">1.25*E3</f>
        <v>8081.5222538969028</v>
      </c>
      <c r="H3" s="1" t="s">
        <v>28</v>
      </c>
    </row>
    <row r="4" spans="1:8" x14ac:dyDescent="0.3">
      <c r="A4" s="1" t="s">
        <v>18</v>
      </c>
      <c r="B4" s="35">
        <f t="shared" si="0"/>
        <v>5270.1944845076869</v>
      </c>
      <c r="C4" s="35">
        <f t="shared" si="1"/>
        <v>6324.2333814092253</v>
      </c>
      <c r="D4" s="35">
        <f t="shared" si="2"/>
        <v>6675.5796803764033</v>
      </c>
      <c r="E4" s="17">
        <f>E2+E3</f>
        <v>7026.9259793435831</v>
      </c>
      <c r="F4" s="35">
        <f t="shared" si="3"/>
        <v>7378.2722783107629</v>
      </c>
      <c r="G4" s="35">
        <f t="shared" si="4"/>
        <v>8783.6574741794793</v>
      </c>
      <c r="H4" s="1" t="s">
        <v>28</v>
      </c>
    </row>
    <row r="5" spans="1:8" x14ac:dyDescent="0.3">
      <c r="A5" s="1" t="s">
        <v>33</v>
      </c>
      <c r="B5" s="17">
        <f>0.84*E5</f>
        <v>2635.8701425248305</v>
      </c>
      <c r="C5" s="35">
        <f>E5*0.91</f>
        <v>2855.5259877352332</v>
      </c>
      <c r="D5" s="35">
        <f t="shared" si="2"/>
        <v>2981.0436135697487</v>
      </c>
      <c r="E5" s="17">
        <f>'Cons and emi per capita'!C10</f>
        <v>3137.9406458628937</v>
      </c>
      <c r="F5" s="35">
        <f t="shared" si="3"/>
        <v>3294.8376781560387</v>
      </c>
      <c r="G5" s="17">
        <f>1.16*E5</f>
        <v>3640.0111492009564</v>
      </c>
      <c r="H5" s="1" t="s">
        <v>28</v>
      </c>
    </row>
    <row r="6" spans="1:8" x14ac:dyDescent="0.3">
      <c r="A6" s="1" t="s">
        <v>29</v>
      </c>
      <c r="B6" s="17">
        <f>0.75*E6</f>
        <v>114.16718681794671</v>
      </c>
      <c r="C6" s="35">
        <f>E6*0.9</f>
        <v>137.00062418153607</v>
      </c>
      <c r="D6" s="35">
        <f t="shared" si="2"/>
        <v>144.61176996939918</v>
      </c>
      <c r="E6" s="17">
        <f>'Cons and emi per capita'!D3</f>
        <v>152.22291575726229</v>
      </c>
      <c r="F6" s="35">
        <f t="shared" si="3"/>
        <v>159.83406154512539</v>
      </c>
      <c r="G6" s="17">
        <f>1.25*E6</f>
        <v>190.27864469657786</v>
      </c>
      <c r="H6" s="1" t="s">
        <v>30</v>
      </c>
    </row>
    <row r="7" spans="1:8" x14ac:dyDescent="0.3">
      <c r="A7" s="1" t="s">
        <v>31</v>
      </c>
      <c r="B7" s="17">
        <f>0.75*E7</f>
        <v>979.48049717230469</v>
      </c>
      <c r="C7" s="35">
        <f t="shared" ref="C7:C8" si="5">E7*0.9</f>
        <v>1175.3765966067658</v>
      </c>
      <c r="D7" s="35">
        <f t="shared" si="2"/>
        <v>1240.6752964182526</v>
      </c>
      <c r="E7" s="17">
        <f>'Cons and emi per capita'!D4</f>
        <v>1305.9739962297397</v>
      </c>
      <c r="F7" s="35">
        <f t="shared" si="3"/>
        <v>1371.2726960412267</v>
      </c>
      <c r="G7" s="17">
        <f t="shared" ref="G7:G8" si="6">1.25*E7</f>
        <v>1632.4674952871746</v>
      </c>
      <c r="H7" s="1" t="s">
        <v>30</v>
      </c>
    </row>
    <row r="8" spans="1:8" x14ac:dyDescent="0.3">
      <c r="A8" s="1" t="s">
        <v>32</v>
      </c>
      <c r="B8" s="17">
        <f t="shared" ref="B8" si="7">0.75*E8</f>
        <v>1093.6476839902514</v>
      </c>
      <c r="C8" s="35">
        <f t="shared" si="5"/>
        <v>1312.3772207883017</v>
      </c>
      <c r="D8" s="35">
        <f t="shared" si="2"/>
        <v>1385.2870663876517</v>
      </c>
      <c r="E8" s="17">
        <f>E6+E7</f>
        <v>1458.1969119870018</v>
      </c>
      <c r="F8" s="35">
        <f t="shared" si="3"/>
        <v>1531.1067575863519</v>
      </c>
      <c r="G8" s="17">
        <f t="shared" si="6"/>
        <v>1822.7461399837523</v>
      </c>
      <c r="H8" s="1" t="s">
        <v>30</v>
      </c>
    </row>
    <row r="9" spans="1:8" x14ac:dyDescent="0.3">
      <c r="A9" s="1" t="s">
        <v>34</v>
      </c>
      <c r="B9" s="17">
        <f>0.84*E9</f>
        <v>632.28638503109903</v>
      </c>
      <c r="C9" s="35">
        <f>E9*0.91</f>
        <v>684.97691711702407</v>
      </c>
      <c r="D9" s="35">
        <f t="shared" si="2"/>
        <v>715.08579259469536</v>
      </c>
      <c r="E9" s="17">
        <f>'Cons and emi per capita'!E10</f>
        <v>752.72188694178465</v>
      </c>
      <c r="F9" s="35">
        <f t="shared" si="3"/>
        <v>790.35798128887393</v>
      </c>
      <c r="G9" s="17">
        <f>1.16*E9</f>
        <v>873.15738885247015</v>
      </c>
      <c r="H9" s="1" t="s">
        <v>30</v>
      </c>
    </row>
    <row r="10" spans="1:8" x14ac:dyDescent="0.3">
      <c r="A10" t="s">
        <v>139</v>
      </c>
      <c r="B10" s="36">
        <v>-0.25</v>
      </c>
      <c r="C10" s="36">
        <v>-0.1</v>
      </c>
      <c r="D10" s="36">
        <v>-0.05</v>
      </c>
      <c r="E10" t="s">
        <v>79</v>
      </c>
      <c r="F10" s="36">
        <v>0.05</v>
      </c>
      <c r="G10" s="36">
        <v>0.25</v>
      </c>
    </row>
    <row r="11" spans="1:8" x14ac:dyDescent="0.3">
      <c r="A11" t="s">
        <v>140</v>
      </c>
      <c r="B11" s="36">
        <v>-0.16</v>
      </c>
      <c r="C11" s="36">
        <v>-0.09</v>
      </c>
      <c r="D11" s="36">
        <v>-0.05</v>
      </c>
      <c r="E11" t="s">
        <v>79</v>
      </c>
      <c r="F11" s="36">
        <v>0.05</v>
      </c>
      <c r="G11" s="36">
        <v>0.16</v>
      </c>
    </row>
    <row r="13" spans="1:8" x14ac:dyDescent="0.3">
      <c r="A13" t="s">
        <v>141</v>
      </c>
      <c r="B13" s="37">
        <f>SUM(B4:B5)</f>
        <v>7906.0646270325178</v>
      </c>
      <c r="C13" s="37">
        <f t="shared" ref="C13:G13" si="8">SUM(C4:C5)</f>
        <v>9179.7593691444581</v>
      </c>
      <c r="D13" s="37">
        <f t="shared" si="8"/>
        <v>9656.6232939461515</v>
      </c>
      <c r="E13" s="37">
        <f t="shared" si="8"/>
        <v>10164.866625206476</v>
      </c>
      <c r="F13" s="37">
        <f t="shared" si="8"/>
        <v>10673.109956466802</v>
      </c>
      <c r="G13" s="37">
        <f t="shared" si="8"/>
        <v>12423.668623380436</v>
      </c>
    </row>
    <row r="14" spans="1:8" x14ac:dyDescent="0.3">
      <c r="B14" s="37">
        <f>SUM(B8:B9)</f>
        <v>1725.9340690213503</v>
      </c>
      <c r="C14" s="37">
        <f t="shared" ref="C14:G14" si="9">SUM(C8:C9)</f>
        <v>1997.3541379053258</v>
      </c>
      <c r="D14" s="37">
        <f t="shared" si="9"/>
        <v>2100.3728589823472</v>
      </c>
      <c r="E14" s="37">
        <f t="shared" si="9"/>
        <v>2210.9187989287866</v>
      </c>
      <c r="F14" s="37">
        <f t="shared" si="9"/>
        <v>2321.464738875226</v>
      </c>
      <c r="G14" s="37">
        <f t="shared" si="9"/>
        <v>2695.9035288362224</v>
      </c>
    </row>
  </sheetData>
  <pageMargins left="0.7" right="0.7" top="0.75" bottom="0.75" header="0.3" footer="0.3"/>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8AC876-2F91-4BD3-B821-F7D14B154580}">
  <dimension ref="A1:K36"/>
  <sheetViews>
    <sheetView topLeftCell="A10" zoomScale="90" zoomScaleNormal="90" workbookViewId="0">
      <selection activeCell="B34" sqref="B34"/>
    </sheetView>
  </sheetViews>
  <sheetFormatPr baseColWidth="10" defaultRowHeight="14.4" x14ac:dyDescent="0.3"/>
  <cols>
    <col min="1" max="1" width="35.21875" customWidth="1"/>
    <col min="4" max="4" width="17" customWidth="1"/>
    <col min="7" max="7" width="15.33203125" customWidth="1"/>
    <col min="8" max="8" width="13.77734375" customWidth="1"/>
    <col min="9" max="9" width="13.44140625" customWidth="1"/>
  </cols>
  <sheetData>
    <row r="1" spans="1:11" x14ac:dyDescent="0.3">
      <c r="A1" s="61" t="s">
        <v>37</v>
      </c>
      <c r="B1" s="61"/>
      <c r="C1" s="61"/>
      <c r="D1" s="61"/>
      <c r="E1" s="61"/>
      <c r="G1" s="61" t="s">
        <v>75</v>
      </c>
      <c r="H1" s="61"/>
      <c r="I1" s="61"/>
      <c r="J1" s="61"/>
      <c r="K1" s="16"/>
    </row>
    <row r="2" spans="1:11" ht="28.2" customHeight="1" x14ac:dyDescent="0.3">
      <c r="A2" s="74" t="s">
        <v>64</v>
      </c>
      <c r="B2" s="74"/>
      <c r="C2" s="74"/>
      <c r="D2" s="74"/>
      <c r="E2" s="74"/>
      <c r="G2" s="56" t="s">
        <v>76</v>
      </c>
      <c r="H2" s="56"/>
      <c r="I2" s="56"/>
      <c r="J2" s="56"/>
      <c r="K2" s="16"/>
    </row>
    <row r="3" spans="1:11" x14ac:dyDescent="0.3">
      <c r="A3" s="1"/>
      <c r="B3" s="1" t="s">
        <v>57</v>
      </c>
      <c r="C3" s="1" t="s">
        <v>36</v>
      </c>
      <c r="D3" s="1" t="s">
        <v>58</v>
      </c>
      <c r="E3" s="1" t="s">
        <v>36</v>
      </c>
      <c r="G3" s="1"/>
      <c r="H3" s="1" t="s">
        <v>77</v>
      </c>
      <c r="I3" s="1" t="s">
        <v>79</v>
      </c>
      <c r="J3" s="1" t="s">
        <v>80</v>
      </c>
    </row>
    <row r="4" spans="1:11" x14ac:dyDescent="0.3">
      <c r="A4" s="75" t="s">
        <v>38</v>
      </c>
      <c r="B4" s="75"/>
      <c r="C4" s="75"/>
      <c r="D4" s="75"/>
      <c r="E4" s="75"/>
      <c r="G4" s="1" t="s">
        <v>81</v>
      </c>
      <c r="H4" s="1">
        <v>15.9</v>
      </c>
      <c r="I4" s="1">
        <v>50</v>
      </c>
      <c r="J4" s="1">
        <v>84.1</v>
      </c>
      <c r="K4" t="s">
        <v>78</v>
      </c>
    </row>
    <row r="5" spans="1:11" x14ac:dyDescent="0.3">
      <c r="A5" s="57" t="s">
        <v>39</v>
      </c>
      <c r="B5" s="57"/>
      <c r="C5" s="57"/>
      <c r="D5" s="57"/>
      <c r="E5" s="57"/>
      <c r="G5" s="1" t="s">
        <v>82</v>
      </c>
      <c r="H5" s="17">
        <f>H$4*I5/I$4</f>
        <v>8.4699081514376751</v>
      </c>
      <c r="I5" s="17">
        <f>B6</f>
        <v>26.634931293829165</v>
      </c>
      <c r="J5" s="17">
        <f>J$4*I5/I$4</f>
        <v>44.799954436220652</v>
      </c>
    </row>
    <row r="6" spans="1:11" x14ac:dyDescent="0.3">
      <c r="A6" s="1" t="s">
        <v>40</v>
      </c>
      <c r="B6" s="6">
        <f>[2]TrRoad_act!$Q$150</f>
        <v>26.634931293829165</v>
      </c>
      <c r="C6" s="1" t="s">
        <v>59</v>
      </c>
      <c r="D6" s="3" t="s">
        <v>7</v>
      </c>
      <c r="E6" s="1"/>
      <c r="G6" s="1" t="s">
        <v>83</v>
      </c>
      <c r="H6" s="17">
        <f t="shared" ref="H6:H8" si="0">H$4*I6/I$4</f>
        <v>24.16903493093551</v>
      </c>
      <c r="I6" s="17">
        <f>B20</f>
        <v>76.003254499797194</v>
      </c>
      <c r="J6" s="17">
        <f t="shared" ref="J6:J8" si="1">J$4*I6/I$4</f>
        <v>127.83747406865886</v>
      </c>
    </row>
    <row r="7" spans="1:11" x14ac:dyDescent="0.3">
      <c r="A7" s="57" t="s">
        <v>61</v>
      </c>
      <c r="B7" s="57"/>
      <c r="C7" s="57"/>
      <c r="D7" s="57"/>
      <c r="E7" s="57"/>
      <c r="G7" s="1" t="s">
        <v>84</v>
      </c>
      <c r="H7" s="17">
        <f t="shared" si="0"/>
        <v>37.764117079586732</v>
      </c>
      <c r="I7" s="17">
        <f>B21</f>
        <v>118.75508515593312</v>
      </c>
      <c r="J7" s="17">
        <f t="shared" si="1"/>
        <v>199.74605323227948</v>
      </c>
    </row>
    <row r="8" spans="1:11" x14ac:dyDescent="0.3">
      <c r="A8" s="1" t="s">
        <v>42</v>
      </c>
      <c r="B8" s="6">
        <f>[2]TrRoad_ene!$Q$62</f>
        <v>4.2762537128241975</v>
      </c>
      <c r="C8" s="74" t="s">
        <v>60</v>
      </c>
      <c r="D8" s="27">
        <f>B8*11.63/100</f>
        <v>0.49732830680145418</v>
      </c>
      <c r="E8" s="74" t="s">
        <v>41</v>
      </c>
      <c r="G8" s="1" t="s">
        <v>85</v>
      </c>
      <c r="H8" s="17">
        <f t="shared" si="0"/>
        <v>0</v>
      </c>
      <c r="I8" s="17">
        <f>B22</f>
        <v>0</v>
      </c>
      <c r="J8" s="17">
        <f t="shared" si="1"/>
        <v>0</v>
      </c>
    </row>
    <row r="9" spans="1:11" x14ac:dyDescent="0.3">
      <c r="A9" s="1" t="s">
        <v>43</v>
      </c>
      <c r="B9" s="3" t="s">
        <v>7</v>
      </c>
      <c r="C9" s="74"/>
      <c r="D9" s="3" t="s">
        <v>7</v>
      </c>
      <c r="E9" s="74"/>
    </row>
    <row r="10" spans="1:11" x14ac:dyDescent="0.3">
      <c r="A10" s="1" t="s">
        <v>44</v>
      </c>
      <c r="B10" s="6">
        <f>AVERAGE([2]TrRoad_ene!$Q$64:$Q$65)</f>
        <v>6.5198858926933045</v>
      </c>
      <c r="C10" s="74"/>
      <c r="D10" s="27">
        <f t="shared" ref="D10:D13" si="2">B10*11.63/100</f>
        <v>0.75826272932023131</v>
      </c>
      <c r="E10" s="74"/>
    </row>
    <row r="11" spans="1:11" x14ac:dyDescent="0.3">
      <c r="A11" s="1" t="s">
        <v>45</v>
      </c>
      <c r="B11" s="6">
        <f>[2]TrRoad_ene!$Q$68</f>
        <v>2.8981782099038704</v>
      </c>
      <c r="C11" s="74"/>
      <c r="D11" s="27">
        <f t="shared" si="2"/>
        <v>0.33705812581182015</v>
      </c>
      <c r="E11" s="74"/>
    </row>
    <row r="12" spans="1:11" x14ac:dyDescent="0.3">
      <c r="A12" s="1" t="s">
        <v>46</v>
      </c>
      <c r="B12" s="6">
        <f>[2]TrRoad_ene!$Q$69</f>
        <v>3.0796400391464274</v>
      </c>
      <c r="C12" s="74"/>
      <c r="D12" s="27">
        <f t="shared" si="2"/>
        <v>0.35816213655272955</v>
      </c>
      <c r="E12" s="74"/>
    </row>
    <row r="13" spans="1:11" x14ac:dyDescent="0.3">
      <c r="A13" s="1" t="s">
        <v>40</v>
      </c>
      <c r="B13" s="6">
        <f>[2]TrRoad_ene!$Q$70</f>
        <v>56.458273333706366</v>
      </c>
      <c r="C13" s="74"/>
      <c r="D13" s="27">
        <f t="shared" si="2"/>
        <v>6.5660971887100503</v>
      </c>
      <c r="E13" s="74"/>
    </row>
    <row r="14" spans="1:11" x14ac:dyDescent="0.3">
      <c r="A14" s="57" t="s">
        <v>63</v>
      </c>
      <c r="B14" s="57"/>
      <c r="C14" s="57"/>
      <c r="D14" s="57"/>
      <c r="E14" s="57"/>
    </row>
    <row r="15" spans="1:11" x14ac:dyDescent="0.3">
      <c r="A15" s="38" t="s">
        <v>145</v>
      </c>
      <c r="B15" s="6">
        <v>3.1</v>
      </c>
      <c r="C15" s="1" t="s">
        <v>62</v>
      </c>
      <c r="D15" s="28">
        <f>B15*1000/11630</f>
        <v>0.26655202063628547</v>
      </c>
      <c r="E15" s="1" t="s">
        <v>47</v>
      </c>
    </row>
    <row r="16" spans="1:11" x14ac:dyDescent="0.3">
      <c r="A16" s="1" t="s">
        <v>48</v>
      </c>
      <c r="B16" s="6">
        <f>AVERAGE([2]TrRoad_emi!$Q$48:$Q$49)</f>
        <v>2.8773458462889403</v>
      </c>
      <c r="C16" s="1" t="s">
        <v>62</v>
      </c>
      <c r="D16" s="28">
        <f>B16*1000/11630</f>
        <v>0.2474072094831419</v>
      </c>
      <c r="E16" s="1" t="s">
        <v>47</v>
      </c>
    </row>
    <row r="17" spans="1:5" x14ac:dyDescent="0.3">
      <c r="A17" s="1" t="s">
        <v>65</v>
      </c>
      <c r="B17" s="6">
        <v>0.218</v>
      </c>
      <c r="C17" s="1" t="s">
        <v>47</v>
      </c>
      <c r="D17" s="2">
        <f>B17</f>
        <v>0.218</v>
      </c>
      <c r="E17" s="1" t="s">
        <v>47</v>
      </c>
    </row>
    <row r="18" spans="1:5" x14ac:dyDescent="0.3">
      <c r="A18" s="62" t="s">
        <v>49</v>
      </c>
      <c r="B18" s="63"/>
      <c r="C18" s="63"/>
      <c r="D18" s="63"/>
      <c r="E18" s="64"/>
    </row>
    <row r="19" spans="1:5" x14ac:dyDescent="0.3">
      <c r="A19" s="65" t="s">
        <v>39</v>
      </c>
      <c r="B19" s="66"/>
      <c r="C19" s="66"/>
      <c r="D19" s="66"/>
      <c r="E19" s="67"/>
    </row>
    <row r="20" spans="1:5" x14ac:dyDescent="0.3">
      <c r="A20" s="1" t="s">
        <v>50</v>
      </c>
      <c r="B20" s="6">
        <f>[2]TrRail_act!$Q$62</f>
        <v>76.003254499797194</v>
      </c>
      <c r="C20" s="68" t="s">
        <v>59</v>
      </c>
      <c r="D20" s="3" t="s">
        <v>7</v>
      </c>
      <c r="E20" s="1"/>
    </row>
    <row r="21" spans="1:5" x14ac:dyDescent="0.3">
      <c r="A21" s="1" t="s">
        <v>51</v>
      </c>
      <c r="B21" s="6">
        <f>[2]TrRail_act!$Q$63</f>
        <v>118.75508515593312</v>
      </c>
      <c r="C21" s="69"/>
      <c r="D21" s="3" t="s">
        <v>7</v>
      </c>
      <c r="E21" s="1"/>
    </row>
    <row r="22" spans="1:5" x14ac:dyDescent="0.3">
      <c r="A22" s="1" t="s">
        <v>52</v>
      </c>
      <c r="B22" s="6"/>
      <c r="C22" s="70"/>
      <c r="D22" s="3" t="s">
        <v>7</v>
      </c>
      <c r="E22" s="1"/>
    </row>
    <row r="23" spans="1:5" x14ac:dyDescent="0.3">
      <c r="A23" s="65" t="s">
        <v>53</v>
      </c>
      <c r="B23" s="66"/>
      <c r="C23" s="66"/>
      <c r="D23" s="66"/>
      <c r="E23" s="67"/>
    </row>
    <row r="24" spans="1:5" x14ac:dyDescent="0.3">
      <c r="A24" s="1" t="s">
        <v>50</v>
      </c>
      <c r="B24" s="6">
        <f>[2]TrRail_ene!$Q$31</f>
        <v>43.217751481629726</v>
      </c>
      <c r="C24" s="71" t="s">
        <v>60</v>
      </c>
      <c r="D24" s="2">
        <f>B24*11.63/100</f>
        <v>5.0262244973135379</v>
      </c>
      <c r="E24" s="71" t="s">
        <v>41</v>
      </c>
    </row>
    <row r="25" spans="1:5" x14ac:dyDescent="0.3">
      <c r="A25" s="1" t="s">
        <v>144</v>
      </c>
      <c r="B25" s="6">
        <f>[2]TrRail_ene!$Q$33</f>
        <v>186.35068257240877</v>
      </c>
      <c r="C25" s="72"/>
      <c r="D25" s="27">
        <f t="shared" ref="D25:D27" si="3">B25*11.63/100</f>
        <v>21.672584383171142</v>
      </c>
      <c r="E25" s="72"/>
    </row>
    <row r="26" spans="1:5" x14ac:dyDescent="0.3">
      <c r="A26" s="1" t="s">
        <v>51</v>
      </c>
      <c r="B26" s="6">
        <f>[2]TrRail_ene!$Q$34</f>
        <v>143.96458068717723</v>
      </c>
      <c r="C26" s="72"/>
      <c r="D26" s="27">
        <f t="shared" si="3"/>
        <v>16.743080733918713</v>
      </c>
      <c r="E26" s="72"/>
    </row>
    <row r="27" spans="1:5" x14ac:dyDescent="0.3">
      <c r="A27" s="1" t="s">
        <v>52</v>
      </c>
      <c r="B27" s="6"/>
      <c r="C27" s="73"/>
      <c r="D27" s="2">
        <f t="shared" si="3"/>
        <v>0</v>
      </c>
      <c r="E27" s="73"/>
    </row>
    <row r="28" spans="1:5" x14ac:dyDescent="0.3">
      <c r="A28" s="65" t="s">
        <v>63</v>
      </c>
      <c r="B28" s="66"/>
      <c r="C28" s="66"/>
      <c r="D28" s="66"/>
      <c r="E28" s="67"/>
    </row>
    <row r="29" spans="1:5" x14ac:dyDescent="0.3">
      <c r="A29" s="1" t="s">
        <v>65</v>
      </c>
      <c r="B29" s="26">
        <f>B17</f>
        <v>0.218</v>
      </c>
      <c r="C29" s="1" t="s">
        <v>47</v>
      </c>
      <c r="D29" s="2">
        <f>B29</f>
        <v>0.218</v>
      </c>
      <c r="E29" s="1" t="s">
        <v>47</v>
      </c>
    </row>
    <row r="30" spans="1:5" x14ac:dyDescent="0.3">
      <c r="A30" s="62" t="s">
        <v>54</v>
      </c>
      <c r="B30" s="63"/>
      <c r="C30" s="63"/>
      <c r="D30" s="63"/>
      <c r="E30" s="64"/>
    </row>
    <row r="31" spans="1:5" x14ac:dyDescent="0.3">
      <c r="A31" s="1" t="s">
        <v>68</v>
      </c>
      <c r="B31" s="6">
        <f>[2]TrAvia_act!$Q$69</f>
        <v>126.88688748294257</v>
      </c>
      <c r="C31" s="1" t="s">
        <v>67</v>
      </c>
      <c r="D31" s="3" t="s">
        <v>7</v>
      </c>
      <c r="E31" s="1"/>
    </row>
    <row r="32" spans="1:5" x14ac:dyDescent="0.3">
      <c r="A32" s="1" t="s">
        <v>72</v>
      </c>
      <c r="B32" s="6">
        <f>[2]TrAvia_ene!$Q$37</f>
        <v>2116.7744901070164</v>
      </c>
      <c r="C32" s="1" t="s">
        <v>69</v>
      </c>
      <c r="D32" s="28">
        <f>B32*11.63*10^(-3)/B31</f>
        <v>0.19401600755045723</v>
      </c>
      <c r="E32" s="1" t="s">
        <v>55</v>
      </c>
    </row>
    <row r="33" spans="1:5" x14ac:dyDescent="0.3">
      <c r="A33" s="1" t="s">
        <v>71</v>
      </c>
      <c r="B33" s="6">
        <f>[2]TrAvia_emi!$Q$41</f>
        <v>6372.1457218944615</v>
      </c>
      <c r="C33" s="1" t="s">
        <v>70</v>
      </c>
      <c r="D33" s="28">
        <f>B33/B31</f>
        <v>50.219103394360353</v>
      </c>
      <c r="E33" s="1" t="s">
        <v>56</v>
      </c>
    </row>
    <row r="35" spans="1:5" x14ac:dyDescent="0.3">
      <c r="A35" s="58" t="s">
        <v>73</v>
      </c>
      <c r="B35" s="59"/>
      <c r="C35" s="59"/>
      <c r="D35" s="59"/>
      <c r="E35" s="60"/>
    </row>
    <row r="36" spans="1:5" x14ac:dyDescent="0.3">
      <c r="A36" s="44" t="s">
        <v>74</v>
      </c>
      <c r="B36" s="45"/>
      <c r="C36" s="45"/>
      <c r="D36" s="45"/>
      <c r="E36" s="46"/>
    </row>
  </sheetData>
  <mergeCells count="20">
    <mergeCell ref="E8:E13"/>
    <mergeCell ref="A4:E4"/>
    <mergeCell ref="A5:E5"/>
    <mergeCell ref="A7:E7"/>
    <mergeCell ref="A14:E14"/>
    <mergeCell ref="A35:E35"/>
    <mergeCell ref="A36:E36"/>
    <mergeCell ref="G2:J2"/>
    <mergeCell ref="G1:J1"/>
    <mergeCell ref="A30:E30"/>
    <mergeCell ref="A23:E23"/>
    <mergeCell ref="A19:E19"/>
    <mergeCell ref="A28:E28"/>
    <mergeCell ref="C20:C22"/>
    <mergeCell ref="C24:C27"/>
    <mergeCell ref="E24:E27"/>
    <mergeCell ref="A1:E1"/>
    <mergeCell ref="A2:E2"/>
    <mergeCell ref="A18:E18"/>
    <mergeCell ref="C8:C13"/>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2E8EB1-51D0-404D-ADF5-BE06FF3DD4F1}">
  <dimension ref="A2:H52"/>
  <sheetViews>
    <sheetView topLeftCell="A13" zoomScale="70" zoomScaleNormal="70" workbookViewId="0">
      <selection activeCell="B25" sqref="B25:C27"/>
    </sheetView>
  </sheetViews>
  <sheetFormatPr baseColWidth="10" defaultRowHeight="14.4" x14ac:dyDescent="0.3"/>
  <cols>
    <col min="1" max="1" width="21.6640625" customWidth="1"/>
    <col min="2" max="2" width="37.33203125" customWidth="1"/>
    <col min="3" max="3" width="26.5546875" customWidth="1"/>
    <col min="7" max="7" width="14.77734375" customWidth="1"/>
    <col min="8" max="8" width="12.5546875" customWidth="1"/>
  </cols>
  <sheetData>
    <row r="2" spans="1:8" x14ac:dyDescent="0.3">
      <c r="A2" t="s">
        <v>174</v>
      </c>
      <c r="B2" t="s">
        <v>175</v>
      </c>
      <c r="C2" t="s">
        <v>176</v>
      </c>
      <c r="G2" t="s">
        <v>177</v>
      </c>
      <c r="H2" t="s">
        <v>3</v>
      </c>
    </row>
    <row r="3" spans="1:8" x14ac:dyDescent="0.3">
      <c r="B3" t="s">
        <v>178</v>
      </c>
      <c r="C3" t="s">
        <v>194</v>
      </c>
      <c r="G3" t="s">
        <v>168</v>
      </c>
      <c r="H3">
        <f>'Passenger transport data'!D17</f>
        <v>0.218</v>
      </c>
    </row>
    <row r="4" spans="1:8" x14ac:dyDescent="0.3">
      <c r="A4" t="s">
        <v>87</v>
      </c>
      <c r="B4">
        <f>'Passenger transport data'!D13</f>
        <v>6.5660971887100503</v>
      </c>
      <c r="C4">
        <f>Tabla4[[#This Row],[ENERGY CONSUMPTION PER VEHICLE]]*H7</f>
        <v>1.6545158991626769</v>
      </c>
      <c r="G4" t="s">
        <v>165</v>
      </c>
      <c r="H4">
        <f>BUS!C16</f>
        <v>0.25365434221840066</v>
      </c>
    </row>
    <row r="5" spans="1:8" x14ac:dyDescent="0.3">
      <c r="A5" t="s">
        <v>179</v>
      </c>
      <c r="B5">
        <f>B4</f>
        <v>6.5660971887100503</v>
      </c>
      <c r="C5">
        <f>Tabla4[[#This Row],[ENERGY CONSUMPTION PER VEHICLE]]*H3</f>
        <v>1.4314091871387911</v>
      </c>
      <c r="G5" t="s">
        <v>180</v>
      </c>
      <c r="H5">
        <f>'Passenger transport data'!D15</f>
        <v>0.26655202063628547</v>
      </c>
    </row>
    <row r="6" spans="1:8" x14ac:dyDescent="0.3">
      <c r="A6" t="s">
        <v>181</v>
      </c>
      <c r="B6">
        <f>B4</f>
        <v>6.5660971887100503</v>
      </c>
      <c r="C6">
        <f>Tabla4[[#This Row],[ENERGY CONSUMPTION PER VEHICLE]]*H4</f>
        <v>1.6655190633443375</v>
      </c>
      <c r="G6" t="s">
        <v>182</v>
      </c>
      <c r="H6">
        <f>BUS!E5</f>
        <v>0.22800000000000001</v>
      </c>
    </row>
    <row r="7" spans="1:8" x14ac:dyDescent="0.3">
      <c r="A7" t="s">
        <v>191</v>
      </c>
      <c r="C7">
        <f>Tabla4[[#This Row],[ENERGY CONSUMPTION PER VEHICLE]]*H8</f>
        <v>0</v>
      </c>
      <c r="G7" t="s">
        <v>184</v>
      </c>
      <c r="H7">
        <f>BUS!E2</f>
        <v>0.25197858813413582</v>
      </c>
    </row>
    <row r="8" spans="1:8" x14ac:dyDescent="0.3">
      <c r="A8" t="s">
        <v>183</v>
      </c>
      <c r="C8">
        <f>Tabla4[[#This Row],[ENERGY CONSUMPTION PER VEHICLE]]*H6</f>
        <v>0</v>
      </c>
      <c r="G8" t="s">
        <v>192</v>
      </c>
      <c r="H8">
        <f>0.5*H3+0.5*H4</f>
        <v>0.23582717110920032</v>
      </c>
    </row>
    <row r="9" spans="1:8" x14ac:dyDescent="0.3">
      <c r="A9" t="s">
        <v>185</v>
      </c>
      <c r="B9">
        <f>'Passenger transport data'!D26</f>
        <v>16.743080733918713</v>
      </c>
      <c r="C9">
        <f>Tabla4[[#This Row],[ENERGY CONSUMPTION PER VEHICLE]]*H3</f>
        <v>3.6499915999942796</v>
      </c>
    </row>
    <row r="10" spans="1:8" x14ac:dyDescent="0.3">
      <c r="A10" t="s">
        <v>146</v>
      </c>
      <c r="B10">
        <f>'Passenger transport data'!D25</f>
        <v>21.672584383171142</v>
      </c>
      <c r="C10">
        <f>Tabla4[[#This Row],[ENERGY CONSUMPTION PER VEHICLE]]*H5</f>
        <v>5.7768711597446725</v>
      </c>
    </row>
    <row r="11" spans="1:8" x14ac:dyDescent="0.3">
      <c r="A11" t="s">
        <v>103</v>
      </c>
      <c r="B11">
        <f>'Passenger transport data'!D27</f>
        <v>0</v>
      </c>
      <c r="C11">
        <f>Tabla4[[#This Row],[ENERGY CONSUMPTION PER VEHICLE]]*H3</f>
        <v>0</v>
      </c>
    </row>
    <row r="12" spans="1:8" x14ac:dyDescent="0.3">
      <c r="A12" t="s">
        <v>186</v>
      </c>
      <c r="B12">
        <f>'Passenger transport data'!D24</f>
        <v>5.0262244973135379</v>
      </c>
      <c r="C12">
        <f>Tabla4[[#This Row],[ENERGY CONSUMPTION PER VEHICLE]]*H3</f>
        <v>1.0957169404143512</v>
      </c>
    </row>
    <row r="14" spans="1:8" x14ac:dyDescent="0.3">
      <c r="A14" t="s">
        <v>187</v>
      </c>
      <c r="B14" t="s">
        <v>188</v>
      </c>
      <c r="C14" t="s">
        <v>189</v>
      </c>
    </row>
    <row r="15" spans="1:8" x14ac:dyDescent="0.3">
      <c r="B15" t="s">
        <v>190</v>
      </c>
      <c r="C15" t="s">
        <v>193</v>
      </c>
    </row>
    <row r="16" spans="1:8" x14ac:dyDescent="0.3">
      <c r="A16" t="s">
        <v>87</v>
      </c>
    </row>
    <row r="17" spans="1:3" x14ac:dyDescent="0.3">
      <c r="A17" s="37">
        <f>'Passenger transport data'!H5</f>
        <v>8.4699081514376751</v>
      </c>
      <c r="B17">
        <f>B4/Tabla5[[#This Row],[LEVEL OF OCCUPANCY]]</f>
        <v>0.77522649257955967</v>
      </c>
      <c r="C17">
        <f>C4/Tabla5[[#This Row],[LEVEL OF OCCUPANCY]]</f>
        <v>0.19534047708437557</v>
      </c>
    </row>
    <row r="18" spans="1:3" x14ac:dyDescent="0.3">
      <c r="A18" s="37">
        <f>'Passenger transport data'!I5</f>
        <v>26.634931293829165</v>
      </c>
      <c r="B18">
        <f>B4/Tabla5[[#This Row],[LEVEL OF OCCUPANCY]]</f>
        <v>0.24652202464029999</v>
      </c>
      <c r="C18">
        <f>C4/Tabla5[[#This Row],[LEVEL OF OCCUPANCY]]</f>
        <v>6.2118271712831435E-2</v>
      </c>
    </row>
    <row r="19" spans="1:3" x14ac:dyDescent="0.3">
      <c r="A19" s="37">
        <f>'Passenger transport data'!J5</f>
        <v>44.799954436220652</v>
      </c>
      <c r="B19">
        <f>B4/Tabla5[[#This Row],[LEVEL OF OCCUPANCY]]</f>
        <v>0.14656481845439953</v>
      </c>
      <c r="C19">
        <f>C4/Tabla5[[#This Row],[LEVEL OF OCCUPANCY]]</f>
        <v>3.6931196024275526E-2</v>
      </c>
    </row>
    <row r="20" spans="1:3" x14ac:dyDescent="0.3">
      <c r="A20" t="s">
        <v>179</v>
      </c>
    </row>
    <row r="21" spans="1:3" x14ac:dyDescent="0.3">
      <c r="A21" s="37">
        <f>A17</f>
        <v>8.4699081514376751</v>
      </c>
      <c r="B21">
        <f>B5/Tabla5[[#This Row],[LEVEL OF OCCUPANCY]]</f>
        <v>0.77522649257955967</v>
      </c>
      <c r="C21">
        <f>C5/Tabla5[[#This Row],[LEVEL OF OCCUPANCY]]</f>
        <v>0.168999375382344</v>
      </c>
    </row>
    <row r="22" spans="1:3" x14ac:dyDescent="0.3">
      <c r="A22" s="37">
        <f>A18</f>
        <v>26.634931293829165</v>
      </c>
      <c r="B22">
        <f>B5/Tabla5[[#This Row],[LEVEL OF OCCUPANCY]]</f>
        <v>0.24652202464029999</v>
      </c>
      <c r="C22">
        <f>C5/Tabla5[[#This Row],[LEVEL OF OCCUPANCY]]</f>
        <v>5.37418013715854E-2</v>
      </c>
    </row>
    <row r="23" spans="1:3" x14ac:dyDescent="0.3">
      <c r="A23" s="37">
        <f>A19</f>
        <v>44.799954436220652</v>
      </c>
      <c r="B23">
        <f>B5/Tabla5[[#This Row],[LEVEL OF OCCUPANCY]]</f>
        <v>0.14656481845439953</v>
      </c>
      <c r="C23">
        <f>C5/Tabla5[[#This Row],[LEVEL OF OCCUPANCY]]</f>
        <v>3.1951130423059096E-2</v>
      </c>
    </row>
    <row r="24" spans="1:3" x14ac:dyDescent="0.3">
      <c r="A24" t="s">
        <v>181</v>
      </c>
    </row>
    <row r="25" spans="1:3" x14ac:dyDescent="0.3">
      <c r="A25" s="37">
        <f>A17</f>
        <v>8.4699081514376751</v>
      </c>
      <c r="B25">
        <f>B6/Tabla5[[#This Row],[LEVEL OF OCCUPANCY]]</f>
        <v>0.77522649257955967</v>
      </c>
      <c r="C25">
        <f>C6/Tabla5[[#This Row],[LEVEL OF OCCUPANCY]]</f>
        <v>0.19663956604554605</v>
      </c>
    </row>
    <row r="26" spans="1:3" x14ac:dyDescent="0.3">
      <c r="A26" s="37">
        <f>A18</f>
        <v>26.634931293829165</v>
      </c>
      <c r="B26">
        <f>B6/Tabla5[[#This Row],[LEVEL OF OCCUPANCY]]</f>
        <v>0.24652202464029999</v>
      </c>
      <c r="C26">
        <f>C6/Tabla5[[#This Row],[LEVEL OF OCCUPANCY]]</f>
        <v>6.2531382002483649E-2</v>
      </c>
    </row>
    <row r="27" spans="1:3" x14ac:dyDescent="0.3">
      <c r="A27" s="37">
        <f>A19</f>
        <v>44.799954436220652</v>
      </c>
      <c r="B27">
        <f>B6/Tabla5[[#This Row],[LEVEL OF OCCUPANCY]]</f>
        <v>0.14656481845439953</v>
      </c>
      <c r="C27">
        <f>C6/Tabla5[[#This Row],[LEVEL OF OCCUPANCY]]</f>
        <v>3.7176802617410021E-2</v>
      </c>
    </row>
    <row r="28" spans="1:3" x14ac:dyDescent="0.3">
      <c r="A28" s="37" t="s">
        <v>183</v>
      </c>
    </row>
    <row r="29" spans="1:3" x14ac:dyDescent="0.3">
      <c r="A29" s="37">
        <f>A17</f>
        <v>8.4699081514376751</v>
      </c>
      <c r="B29">
        <f>B8/Tabla5[[#This Row],[LEVEL OF OCCUPANCY]]</f>
        <v>0</v>
      </c>
      <c r="C29">
        <f>C8/Tabla5[[#This Row],[LEVEL OF OCCUPANCY]]</f>
        <v>0</v>
      </c>
    </row>
    <row r="30" spans="1:3" x14ac:dyDescent="0.3">
      <c r="A30" s="37">
        <f>A18</f>
        <v>26.634931293829165</v>
      </c>
      <c r="B30">
        <f>B8/Tabla5[[#This Row],[LEVEL OF OCCUPANCY]]</f>
        <v>0</v>
      </c>
      <c r="C30">
        <f>C8/Tabla5[[#This Row],[LEVEL OF OCCUPANCY]]</f>
        <v>0</v>
      </c>
    </row>
    <row r="31" spans="1:3" x14ac:dyDescent="0.3">
      <c r="A31" s="37">
        <f>A19</f>
        <v>44.799954436220652</v>
      </c>
      <c r="B31">
        <f>B8/Tabla5[[#This Row],[LEVEL OF OCCUPANCY]]</f>
        <v>0</v>
      </c>
      <c r="C31">
        <f>C8/Tabla5[[#This Row],[LEVEL OF OCCUPANCY]]</f>
        <v>0</v>
      </c>
    </row>
    <row r="32" spans="1:3" x14ac:dyDescent="0.3">
      <c r="A32" s="37" t="s">
        <v>191</v>
      </c>
    </row>
    <row r="33" spans="1:3" x14ac:dyDescent="0.3">
      <c r="A33" s="37">
        <f>A17</f>
        <v>8.4699081514376751</v>
      </c>
      <c r="B33">
        <f>B7/Tabla5[[#This Row],[LEVEL OF OCCUPANCY]]</f>
        <v>0</v>
      </c>
      <c r="C33">
        <f>C7/Tabla5[[#This Row],[LEVEL OF OCCUPANCY]]</f>
        <v>0</v>
      </c>
    </row>
    <row r="34" spans="1:3" x14ac:dyDescent="0.3">
      <c r="A34" s="37">
        <f>A18</f>
        <v>26.634931293829165</v>
      </c>
      <c r="B34">
        <f>B7/Tabla5[[#This Row],[LEVEL OF OCCUPANCY]]</f>
        <v>0</v>
      </c>
      <c r="C34">
        <f>C7/Tabla5[[#This Row],[LEVEL OF OCCUPANCY]]</f>
        <v>0</v>
      </c>
    </row>
    <row r="35" spans="1:3" x14ac:dyDescent="0.3">
      <c r="A35" s="37">
        <f>A19</f>
        <v>44.799954436220652</v>
      </c>
      <c r="B35">
        <f>B7/Tabla5[[#This Row],[LEVEL OF OCCUPANCY]]</f>
        <v>0</v>
      </c>
      <c r="C35">
        <f>C7/Tabla5[[#This Row],[LEVEL OF OCCUPANCY]]</f>
        <v>0</v>
      </c>
    </row>
    <row r="36" spans="1:3" x14ac:dyDescent="0.3">
      <c r="A36" t="s">
        <v>185</v>
      </c>
    </row>
    <row r="37" spans="1:3" x14ac:dyDescent="0.3">
      <c r="A37" s="37">
        <f>'Passenger transport data'!H7</f>
        <v>37.764117079586732</v>
      </c>
      <c r="B37">
        <f>B9/Tabla5[[#This Row],[LEVEL OF OCCUPANCY]]</f>
        <v>0.44335951767740733</v>
      </c>
      <c r="C37">
        <f>C9/Tabla5[[#This Row],[LEVEL OF OCCUPANCY]]</f>
        <v>9.6652374853674797E-2</v>
      </c>
    </row>
    <row r="38" spans="1:3" x14ac:dyDescent="0.3">
      <c r="A38" s="37">
        <f>'Passenger transport data'!I7</f>
        <v>118.75508515593312</v>
      </c>
      <c r="B38">
        <f>B9/Tabla5[[#This Row],[LEVEL OF OCCUPANCY]]</f>
        <v>0.14098832662141553</v>
      </c>
      <c r="C38">
        <f>C9/Tabla5[[#This Row],[LEVEL OF OCCUPANCY]]</f>
        <v>3.0735455203468588E-2</v>
      </c>
    </row>
    <row r="39" spans="1:3" x14ac:dyDescent="0.3">
      <c r="A39" s="37">
        <f>'Passenger transport data'!J7</f>
        <v>199.74605323227948</v>
      </c>
      <c r="B39">
        <f>B9/Tabla5[[#This Row],[LEVEL OF OCCUPANCY]]</f>
        <v>8.3821835090021127E-2</v>
      </c>
      <c r="C39">
        <f>C9/Tabla5[[#This Row],[LEVEL OF OCCUPANCY]]</f>
        <v>1.8273160049624607E-2</v>
      </c>
    </row>
    <row r="40" spans="1:3" x14ac:dyDescent="0.3">
      <c r="A40" t="s">
        <v>146</v>
      </c>
    </row>
    <row r="41" spans="1:3" x14ac:dyDescent="0.3">
      <c r="A41" s="37">
        <f>A37</f>
        <v>37.764117079586732</v>
      </c>
      <c r="B41">
        <f>B10/Tabla5[[#This Row],[LEVEL OF OCCUPANCY]]</f>
        <v>0.57389358097521059</v>
      </c>
      <c r="C41">
        <f>C10/Tabla5[[#This Row],[LEVEL OF OCCUPANCY]]</f>
        <v>0.15297249363913609</v>
      </c>
    </row>
    <row r="42" spans="1:3" x14ac:dyDescent="0.3">
      <c r="A42" s="37">
        <f>A38</f>
        <v>118.75508515593312</v>
      </c>
      <c r="B42">
        <f>B10/Tabla5[[#This Row],[LEVEL OF OCCUPANCY]]</f>
        <v>0.18249815875011696</v>
      </c>
      <c r="C42">
        <f>C10/Tabla5[[#This Row],[LEVEL OF OCCUPANCY]]</f>
        <v>4.8645252977245285E-2</v>
      </c>
    </row>
    <row r="43" spans="1:3" x14ac:dyDescent="0.3">
      <c r="A43" s="37">
        <f>A39</f>
        <v>199.74605323227948</v>
      </c>
      <c r="B43">
        <f>B10/Tabla5[[#This Row],[LEVEL OF OCCUPANCY]]</f>
        <v>0.10850068891207906</v>
      </c>
      <c r="C43">
        <f>C10/Tabla5[[#This Row],[LEVEL OF OCCUPANCY]]</f>
        <v>2.892107786994369E-2</v>
      </c>
    </row>
    <row r="44" spans="1:3" x14ac:dyDescent="0.3">
      <c r="A44" s="37" t="s">
        <v>103</v>
      </c>
    </row>
    <row r="45" spans="1:3" x14ac:dyDescent="0.3">
      <c r="A45" s="37">
        <f>'Passenger transport data'!H8</f>
        <v>0</v>
      </c>
      <c r="B45" t="e">
        <f>B11/Tabla5[[#This Row],[LEVEL OF OCCUPANCY]]</f>
        <v>#DIV/0!</v>
      </c>
      <c r="C45" t="e">
        <f>C11/Tabla5[[#This Row],[LEVEL OF OCCUPANCY]]</f>
        <v>#DIV/0!</v>
      </c>
    </row>
    <row r="46" spans="1:3" x14ac:dyDescent="0.3">
      <c r="A46" s="37">
        <f>'Passenger transport data'!I8</f>
        <v>0</v>
      </c>
      <c r="B46" t="e">
        <f>B11/Tabla5[[#This Row],[LEVEL OF OCCUPANCY]]</f>
        <v>#DIV/0!</v>
      </c>
      <c r="C46" t="e">
        <f>C11/Tabla5[[#This Row],[LEVEL OF OCCUPANCY]]</f>
        <v>#DIV/0!</v>
      </c>
    </row>
    <row r="47" spans="1:3" x14ac:dyDescent="0.3">
      <c r="A47" s="37">
        <f>'Passenger transport data'!J8</f>
        <v>0</v>
      </c>
      <c r="B47" t="e">
        <f>B11/Tabla5[[#This Row],[LEVEL OF OCCUPANCY]]</f>
        <v>#DIV/0!</v>
      </c>
      <c r="C47" t="e">
        <f>C11/Tabla5[[#This Row],[LEVEL OF OCCUPANCY]]</f>
        <v>#DIV/0!</v>
      </c>
    </row>
    <row r="48" spans="1:3" x14ac:dyDescent="0.3">
      <c r="A48" t="s">
        <v>186</v>
      </c>
    </row>
    <row r="49" spans="1:3" x14ac:dyDescent="0.3">
      <c r="A49" s="37">
        <f>'Passenger transport data'!H6</f>
        <v>24.16903493093551</v>
      </c>
      <c r="B49">
        <f>B12/Tabla5[[#This Row],[LEVEL OF OCCUPANCY]]</f>
        <v>0.20796132372170759</v>
      </c>
      <c r="C49">
        <f>C12/Tabla5[[#This Row],[LEVEL OF OCCUPANCY]]</f>
        <v>4.5335568571332252E-2</v>
      </c>
    </row>
    <row r="50" spans="1:3" x14ac:dyDescent="0.3">
      <c r="A50" s="37">
        <f>'Passenger transport data'!I6</f>
        <v>76.003254499797194</v>
      </c>
      <c r="B50">
        <f>B12/Tabla5[[#This Row],[LEVEL OF OCCUPANCY]]</f>
        <v>6.6131700943503013E-2</v>
      </c>
      <c r="C50">
        <f>C12/Tabla5[[#This Row],[LEVEL OF OCCUPANCY]]</f>
        <v>1.4416710805683656E-2</v>
      </c>
    </row>
    <row r="51" spans="1:3" x14ac:dyDescent="0.3">
      <c r="A51" s="37">
        <f>'Passenger transport data'!J6</f>
        <v>127.83747406865886</v>
      </c>
      <c r="B51">
        <f>B12/Tabla5[[#This Row],[LEVEL OF OCCUPANCY]]</f>
        <v>3.9317301393283606E-2</v>
      </c>
      <c r="C51">
        <f>C12/Tabla5[[#This Row],[LEVEL OF OCCUPANCY]]</f>
        <v>8.5711717037358255E-3</v>
      </c>
    </row>
    <row r="52" spans="1:3" x14ac:dyDescent="0.3">
      <c r="A52" s="37"/>
    </row>
  </sheetData>
  <pageMargins left="0.7" right="0.7" top="0.75" bottom="0.75" header="0.3" footer="0.3"/>
  <tableParts count="3">
    <tablePart r:id="rId1"/>
    <tablePart r:id="rId2"/>
    <tablePart r:id="rId3"/>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3339A4-9882-460C-94B6-C123CB73C0DB}">
  <dimension ref="B1:F17"/>
  <sheetViews>
    <sheetView workbookViewId="0">
      <selection activeCell="E10" sqref="E10"/>
    </sheetView>
  </sheetViews>
  <sheetFormatPr baseColWidth="10" defaultRowHeight="14.4" x14ac:dyDescent="0.3"/>
  <cols>
    <col min="2" max="2" width="19.77734375" customWidth="1"/>
    <col min="3" max="3" width="20.5546875" customWidth="1"/>
  </cols>
  <sheetData>
    <row r="1" spans="2:6" x14ac:dyDescent="0.3">
      <c r="B1" t="s">
        <v>157</v>
      </c>
      <c r="C1" t="s">
        <v>158</v>
      </c>
      <c r="E1" t="s">
        <v>159</v>
      </c>
    </row>
    <row r="2" spans="2:6" x14ac:dyDescent="0.3">
      <c r="B2" t="s">
        <v>160</v>
      </c>
      <c r="C2">
        <v>4.7</v>
      </c>
      <c r="E2">
        <f>(Tabla1[[#This Row],[% fuel used for buses]]*C10+C3*((C11+C10)/2)+C4*((C12+C13+C14)/3)+C5*C15+C6*C16)/100</f>
        <v>0.25197858813413582</v>
      </c>
      <c r="F2" t="s">
        <v>47</v>
      </c>
    </row>
    <row r="3" spans="2:6" x14ac:dyDescent="0.3">
      <c r="B3" t="s">
        <v>161</v>
      </c>
      <c r="C3">
        <v>0</v>
      </c>
    </row>
    <row r="4" spans="2:6" x14ac:dyDescent="0.3">
      <c r="B4" t="s">
        <v>162</v>
      </c>
      <c r="C4">
        <v>0</v>
      </c>
      <c r="E4" t="s">
        <v>163</v>
      </c>
    </row>
    <row r="5" spans="2:6" x14ac:dyDescent="0.3">
      <c r="B5" t="s">
        <v>164</v>
      </c>
      <c r="C5">
        <v>0</v>
      </c>
      <c r="E5">
        <f>(C12+C13+C14)/3</f>
        <v>0.22800000000000001</v>
      </c>
      <c r="F5" t="s">
        <v>47</v>
      </c>
    </row>
    <row r="6" spans="2:6" x14ac:dyDescent="0.3">
      <c r="B6" t="s">
        <v>165</v>
      </c>
      <c r="C6">
        <v>95.3</v>
      </c>
    </row>
    <row r="9" spans="2:6" x14ac:dyDescent="0.3">
      <c r="B9" t="s">
        <v>166</v>
      </c>
      <c r="C9" t="s">
        <v>167</v>
      </c>
    </row>
    <row r="10" spans="2:6" x14ac:dyDescent="0.3">
      <c r="B10" t="s">
        <v>168</v>
      </c>
      <c r="C10">
        <f>'Passenger transport data'!D17</f>
        <v>0.218</v>
      </c>
    </row>
    <row r="11" spans="2:6" x14ac:dyDescent="0.3">
      <c r="B11" t="s">
        <v>169</v>
      </c>
      <c r="C11">
        <f>((2.79+2.99)/2)*1000/11630</f>
        <v>0.24849527085124679</v>
      </c>
    </row>
    <row r="12" spans="2:6" x14ac:dyDescent="0.3">
      <c r="B12" t="s">
        <v>170</v>
      </c>
      <c r="C12">
        <v>0.20200000000000001</v>
      </c>
    </row>
    <row r="13" spans="2:6" x14ac:dyDescent="0.3">
      <c r="B13" t="s">
        <v>171</v>
      </c>
      <c r="C13">
        <v>0.22700000000000001</v>
      </c>
    </row>
    <row r="14" spans="2:6" x14ac:dyDescent="0.3">
      <c r="B14" t="s">
        <v>172</v>
      </c>
      <c r="C14">
        <v>0.255</v>
      </c>
    </row>
    <row r="15" spans="2:6" x14ac:dyDescent="0.3">
      <c r="B15" t="s">
        <v>164</v>
      </c>
      <c r="C15">
        <f>2.81*1000/11630</f>
        <v>0.24161650902837489</v>
      </c>
    </row>
    <row r="16" spans="2:6" x14ac:dyDescent="0.3">
      <c r="B16" t="s">
        <v>165</v>
      </c>
      <c r="C16">
        <f>2.95*1000/11630</f>
        <v>0.25365434221840066</v>
      </c>
    </row>
    <row r="17" spans="2:2" x14ac:dyDescent="0.3">
      <c r="B17" t="s">
        <v>173</v>
      </c>
    </row>
  </sheetData>
  <pageMargins left="0.7" right="0.7" top="0.75" bottom="0.75" header="0.3" footer="0.3"/>
  <tableParts count="2">
    <tablePart r:id="rId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2DF5F3-1D5E-4554-8902-929752EE8F30}">
  <dimension ref="A1:M34"/>
  <sheetViews>
    <sheetView zoomScale="80" zoomScaleNormal="80" workbookViewId="0">
      <selection activeCell="I9" sqref="I9"/>
    </sheetView>
  </sheetViews>
  <sheetFormatPr baseColWidth="10" defaultRowHeight="14.4" x14ac:dyDescent="0.3"/>
  <cols>
    <col min="1" max="1" width="10.6640625" customWidth="1"/>
    <col min="2" max="2" width="25.6640625" customWidth="1"/>
    <col min="3" max="3" width="7.6640625" customWidth="1"/>
    <col min="4" max="4" width="16.21875" customWidth="1"/>
    <col min="5" max="5" width="9.6640625" customWidth="1"/>
    <col min="6" max="6" width="15.77734375" customWidth="1"/>
    <col min="7" max="7" width="14.33203125" customWidth="1"/>
    <col min="8" max="8" width="37.21875" customWidth="1"/>
    <col min="9" max="9" width="27.109375" customWidth="1"/>
    <col min="10" max="10" width="27.77734375" customWidth="1"/>
    <col min="11" max="11" width="31.77734375" customWidth="1"/>
    <col min="12" max="12" width="13.88671875" customWidth="1"/>
    <col min="14" max="14" width="13.109375" customWidth="1"/>
  </cols>
  <sheetData>
    <row r="1" spans="1:13" ht="15" thickBot="1" x14ac:dyDescent="0.35"/>
    <row r="2" spans="1:13" x14ac:dyDescent="0.3">
      <c r="B2" s="85" t="s">
        <v>122</v>
      </c>
      <c r="C2" s="86"/>
      <c r="D2" s="86"/>
      <c r="E2" s="86"/>
      <c r="F2" s="86"/>
      <c r="G2" s="87"/>
      <c r="H2" s="85" t="s">
        <v>123</v>
      </c>
      <c r="I2" s="86"/>
      <c r="J2" s="86"/>
      <c r="K2" s="86"/>
      <c r="L2" s="86"/>
      <c r="M2" s="87"/>
    </row>
    <row r="3" spans="1:13" x14ac:dyDescent="0.3">
      <c r="B3" s="19" t="s">
        <v>104</v>
      </c>
      <c r="G3" s="20"/>
      <c r="H3" s="19" t="s">
        <v>104</v>
      </c>
      <c r="M3" s="20"/>
    </row>
    <row r="4" spans="1:13" x14ac:dyDescent="0.3">
      <c r="B4" s="88" t="s">
        <v>106</v>
      </c>
      <c r="C4">
        <v>4.0000000000000001E-3</v>
      </c>
      <c r="D4" t="s">
        <v>105</v>
      </c>
      <c r="E4" s="89" t="s">
        <v>112</v>
      </c>
      <c r="G4" s="20"/>
      <c r="H4" s="88" t="s">
        <v>106</v>
      </c>
      <c r="I4">
        <f>0.85/100</f>
        <v>8.5000000000000006E-3</v>
      </c>
      <c r="J4" t="s">
        <v>86</v>
      </c>
      <c r="K4" s="41" t="s">
        <v>112</v>
      </c>
      <c r="L4" s="23" t="s">
        <v>132</v>
      </c>
      <c r="M4" s="24"/>
    </row>
    <row r="5" spans="1:13" x14ac:dyDescent="0.3">
      <c r="B5" s="88"/>
      <c r="C5">
        <f>C4*10</f>
        <v>0.04</v>
      </c>
      <c r="D5" t="s">
        <v>86</v>
      </c>
      <c r="E5" s="89"/>
      <c r="F5" t="s">
        <v>149</v>
      </c>
      <c r="G5" s="20">
        <f>BUS!C15*1000</f>
        <v>241.61650902837491</v>
      </c>
      <c r="H5" s="88"/>
      <c r="K5" s="41" t="s">
        <v>150</v>
      </c>
      <c r="L5" s="9" t="s">
        <v>133</v>
      </c>
      <c r="M5" s="20"/>
    </row>
    <row r="6" spans="1:13" x14ac:dyDescent="0.3">
      <c r="B6" s="88"/>
      <c r="C6">
        <v>0.1</v>
      </c>
      <c r="D6" t="s">
        <v>66</v>
      </c>
      <c r="E6" s="89"/>
      <c r="G6" t="s">
        <v>108</v>
      </c>
      <c r="H6" s="88"/>
      <c r="I6">
        <f>2.8/100</f>
        <v>2.7999999999999997E-2</v>
      </c>
      <c r="J6" t="s">
        <v>66</v>
      </c>
      <c r="K6" s="41">
        <f>BUS!E5*1000</f>
        <v>228</v>
      </c>
      <c r="L6" s="9">
        <f>'Passenger transport data'!D16*1000</f>
        <v>247.40720948314191</v>
      </c>
      <c r="M6" s="20" t="s">
        <v>108</v>
      </c>
    </row>
    <row r="7" spans="1:13" x14ac:dyDescent="0.3">
      <c r="B7" s="19" t="s">
        <v>110</v>
      </c>
      <c r="C7">
        <v>80</v>
      </c>
      <c r="D7" t="s">
        <v>111</v>
      </c>
      <c r="E7" s="89"/>
      <c r="G7" s="20"/>
      <c r="H7" s="19" t="s">
        <v>110</v>
      </c>
      <c r="I7">
        <v>70</v>
      </c>
      <c r="J7" t="s">
        <v>111</v>
      </c>
      <c r="K7" s="42" t="s">
        <v>151</v>
      </c>
      <c r="L7" s="47" t="s">
        <v>134</v>
      </c>
      <c r="M7" s="90"/>
    </row>
    <row r="8" spans="1:13" ht="15" thickBot="1" x14ac:dyDescent="0.35">
      <c r="A8" s="83" t="s">
        <v>109</v>
      </c>
      <c r="B8" s="21" t="s">
        <v>107</v>
      </c>
      <c r="C8" s="22">
        <f>F8</f>
        <v>253.65434221840067</v>
      </c>
      <c r="D8" s="22" t="s">
        <v>108</v>
      </c>
      <c r="E8" s="22" t="s">
        <v>147</v>
      </c>
      <c r="F8" s="22">
        <f>BUS!C16*1000</f>
        <v>253.65434221840067</v>
      </c>
      <c r="G8" s="22" t="s">
        <v>108</v>
      </c>
      <c r="H8" s="21" t="s">
        <v>131</v>
      </c>
      <c r="I8" s="22">
        <f>BUS!C10*1000</f>
        <v>218</v>
      </c>
      <c r="J8" s="22" t="s">
        <v>108</v>
      </c>
      <c r="K8" s="43">
        <f>BUS!E2*1000</f>
        <v>251.9785881341358</v>
      </c>
      <c r="L8" s="91"/>
      <c r="M8" s="92"/>
    </row>
    <row r="9" spans="1:13" x14ac:dyDescent="0.3">
      <c r="A9" s="56"/>
      <c r="B9" s="11" t="s">
        <v>113</v>
      </c>
      <c r="C9" s="84" t="s">
        <v>114</v>
      </c>
      <c r="D9" s="84"/>
      <c r="E9" s="84"/>
      <c r="F9" s="84" t="s">
        <v>115</v>
      </c>
      <c r="G9" s="84"/>
      <c r="H9" s="1" t="s">
        <v>116</v>
      </c>
      <c r="I9" s="1" t="s">
        <v>118</v>
      </c>
      <c r="J9" s="1" t="s">
        <v>119</v>
      </c>
      <c r="K9" s="1" t="s">
        <v>117</v>
      </c>
    </row>
    <row r="10" spans="1:13" x14ac:dyDescent="0.3">
      <c r="A10" s="81" t="s">
        <v>152</v>
      </c>
      <c r="B10" s="81"/>
      <c r="C10" s="81"/>
      <c r="D10" s="81"/>
      <c r="E10" s="81"/>
      <c r="F10" s="81"/>
      <c r="G10" s="81"/>
      <c r="H10" s="81"/>
      <c r="I10" s="81"/>
      <c r="J10" s="81"/>
      <c r="K10" s="81"/>
    </row>
    <row r="11" spans="1:13" x14ac:dyDescent="0.3">
      <c r="A11" s="1">
        <v>1</v>
      </c>
      <c r="B11" s="1">
        <v>0</v>
      </c>
      <c r="C11" s="82">
        <f>C$5*B11/100</f>
        <v>0</v>
      </c>
      <c r="D11" s="82"/>
      <c r="E11" s="82"/>
      <c r="F11" s="82">
        <f>'Passenger transport data'!D13</f>
        <v>6.5660971887100503</v>
      </c>
      <c r="G11" s="82"/>
      <c r="H11" s="30">
        <f>F11/A11</f>
        <v>6.5660971887100503</v>
      </c>
      <c r="I11" s="1">
        <v>0</v>
      </c>
      <c r="J11" s="1">
        <f>I$8*F11</f>
        <v>1431.4091871387909</v>
      </c>
      <c r="K11" s="30">
        <f>J11/A11</f>
        <v>1431.4091871387909</v>
      </c>
    </row>
    <row r="12" spans="1:13" x14ac:dyDescent="0.3">
      <c r="A12" s="18">
        <f>'Passenger transport data'!H5</f>
        <v>8.4699081514376751</v>
      </c>
      <c r="B12" s="1">
        <f>C$7*A12</f>
        <v>677.59265211501406</v>
      </c>
      <c r="C12" s="82">
        <f>I$4*B12/100</f>
        <v>5.7595375429776198E-2</v>
      </c>
      <c r="D12" s="82"/>
      <c r="E12" s="82"/>
      <c r="F12" s="82">
        <f>F$11+C12</f>
        <v>6.6236925641398265</v>
      </c>
      <c r="G12" s="82"/>
      <c r="H12" s="27">
        <f t="shared" ref="H12:H14" si="0">F12/A12</f>
        <v>0.78202649257955958</v>
      </c>
      <c r="I12" s="1">
        <f>I$6*B12</f>
        <v>18.97259425922039</v>
      </c>
      <c r="J12" s="1">
        <f>F12*(I12+J$11)</f>
        <v>9606.8830206098828</v>
      </c>
      <c r="K12" s="27">
        <f>J12/A12</f>
        <v>1134.2369774079802</v>
      </c>
    </row>
    <row r="13" spans="1:13" x14ac:dyDescent="0.3">
      <c r="A13" s="18">
        <f>'Passenger transport data'!I5</f>
        <v>26.634931293829165</v>
      </c>
      <c r="B13" s="1">
        <f t="shared" ref="B13:B14" si="1">C$7*A13</f>
        <v>2130.7945035063331</v>
      </c>
      <c r="C13" s="82">
        <f t="shared" ref="C13:C14" si="2">I$4*B13/100</f>
        <v>0.18111753279803833</v>
      </c>
      <c r="D13" s="82"/>
      <c r="E13" s="82"/>
      <c r="F13" s="82">
        <f t="shared" ref="F13:F14" si="3">F$11+C13</f>
        <v>6.7472147215080884</v>
      </c>
      <c r="G13" s="82"/>
      <c r="H13" s="27">
        <f t="shared" si="0"/>
        <v>0.25332202464029996</v>
      </c>
      <c r="I13" s="1">
        <f t="shared" ref="I13:I14" si="4">I$6*B13</f>
        <v>59.66224609817732</v>
      </c>
      <c r="J13" s="1">
        <f>F13*(I13+J$11)</f>
        <v>10060.579125156637</v>
      </c>
      <c r="K13" s="27">
        <f>J13/A13</f>
        <v>377.72123435090265</v>
      </c>
    </row>
    <row r="14" spans="1:13" x14ac:dyDescent="0.3">
      <c r="A14" s="18">
        <f>'Passenger transport data'!J5</f>
        <v>44.799954436220652</v>
      </c>
      <c r="B14" s="1">
        <f t="shared" si="1"/>
        <v>3583.9963548976521</v>
      </c>
      <c r="C14" s="82">
        <f t="shared" si="2"/>
        <v>0.30463969016630044</v>
      </c>
      <c r="D14" s="82"/>
      <c r="E14" s="82"/>
      <c r="F14" s="82">
        <f t="shared" si="3"/>
        <v>6.8707368788763503</v>
      </c>
      <c r="G14" s="82"/>
      <c r="H14" s="27">
        <f t="shared" si="0"/>
        <v>0.1533648184543995</v>
      </c>
      <c r="I14" s="1">
        <f t="shared" si="4"/>
        <v>100.35189793713425</v>
      </c>
      <c r="J14" s="1">
        <f>F14*(I14+J$11)</f>
        <v>10524.327376858813</v>
      </c>
      <c r="K14" s="27">
        <f>J14/A14</f>
        <v>234.91826072818327</v>
      </c>
    </row>
    <row r="15" spans="1:13" x14ac:dyDescent="0.3">
      <c r="A15" s="81" t="s">
        <v>153</v>
      </c>
      <c r="B15" s="81"/>
      <c r="C15" s="81"/>
      <c r="D15" s="81"/>
      <c r="E15" s="81"/>
      <c r="F15" s="81"/>
      <c r="G15" s="81"/>
      <c r="H15" s="81"/>
      <c r="I15" s="81"/>
      <c r="J15" s="81"/>
      <c r="K15" s="81"/>
    </row>
    <row r="16" spans="1:13" x14ac:dyDescent="0.3">
      <c r="A16" s="1">
        <v>1</v>
      </c>
      <c r="B16" s="1">
        <v>0</v>
      </c>
      <c r="C16" s="82">
        <f>C$5*B16/100</f>
        <v>0</v>
      </c>
      <c r="D16" s="82"/>
      <c r="E16" s="82"/>
      <c r="F16" s="82">
        <f>'Passenger transport data'!D13</f>
        <v>6.5660971887100503</v>
      </c>
      <c r="G16" s="82"/>
      <c r="H16" s="30">
        <f>F16/A16</f>
        <v>6.5660971887100503</v>
      </c>
      <c r="I16" s="1">
        <v>0</v>
      </c>
      <c r="J16" s="1">
        <f>F16*(0.5*C$8+0.5*I$8)</f>
        <v>1548.4641252415643</v>
      </c>
      <c r="K16" s="30">
        <f>J16/A16</f>
        <v>1548.4641252415643</v>
      </c>
    </row>
    <row r="17" spans="1:11" x14ac:dyDescent="0.3">
      <c r="A17" s="18">
        <f>'Passenger transport data'!H5</f>
        <v>8.4699081514376751</v>
      </c>
      <c r="B17" s="1">
        <f>C$7*A17</f>
        <v>677.59265211501406</v>
      </c>
      <c r="C17" s="76">
        <f>B17*(0.5*I$4+0.5*C$5)/100</f>
        <v>0.16431621813789093</v>
      </c>
      <c r="D17" s="77"/>
      <c r="E17" s="78"/>
      <c r="F17" s="76">
        <f>F$16+C17</f>
        <v>6.7304134068479415</v>
      </c>
      <c r="G17" s="78"/>
      <c r="H17" s="27">
        <f>F17/A17</f>
        <v>0.79462649257955964</v>
      </c>
      <c r="I17" s="1">
        <f>B17*(0.5*C$6+0.5*I$6)/100</f>
        <v>0.43365929735360903</v>
      </c>
      <c r="J17" s="1">
        <f>F17*(I17+J$16)</f>
        <v>10424.722414897808</v>
      </c>
      <c r="K17" s="27">
        <f>J17/A17</f>
        <v>1230.7952138924109</v>
      </c>
    </row>
    <row r="18" spans="1:11" x14ac:dyDescent="0.3">
      <c r="A18" s="18">
        <f>'Passenger transport data'!I5</f>
        <v>26.634931293829165</v>
      </c>
      <c r="B18" s="1">
        <f t="shared" ref="B18:B19" si="5">C$7*A18</f>
        <v>2130.7945035063331</v>
      </c>
      <c r="C18" s="76">
        <f t="shared" ref="C18:C19" si="6">B18*(0.5*I$4+0.5*C$5)/100</f>
        <v>0.51671766710028577</v>
      </c>
      <c r="D18" s="77"/>
      <c r="E18" s="78"/>
      <c r="F18" s="76">
        <f t="shared" ref="F18:F19" si="7">F$16+C18</f>
        <v>7.0828148558103363</v>
      </c>
      <c r="G18" s="78"/>
      <c r="H18" s="27">
        <f t="shared" ref="H18:H19" si="8">F18/A18</f>
        <v>0.26592202464029996</v>
      </c>
      <c r="I18" s="1">
        <f t="shared" ref="I18:I19" si="9">B18*(0.5*C$6+0.5*I$6)/100</f>
        <v>1.3637084822440531</v>
      </c>
      <c r="J18" s="1">
        <f t="shared" ref="J18:J19" si="10">F18*(I18+J$16)</f>
        <v>10977.143604647341</v>
      </c>
      <c r="K18" s="27">
        <f t="shared" ref="K18:K19" si="11">J18/A18</f>
        <v>412.13335538772526</v>
      </c>
    </row>
    <row r="19" spans="1:11" x14ac:dyDescent="0.3">
      <c r="A19" s="18">
        <f>'Passenger transport data'!J5</f>
        <v>44.799954436220652</v>
      </c>
      <c r="B19" s="1">
        <f t="shared" si="5"/>
        <v>3583.9963548976521</v>
      </c>
      <c r="C19" s="76">
        <f t="shared" si="6"/>
        <v>0.86911911606268066</v>
      </c>
      <c r="D19" s="77"/>
      <c r="E19" s="78"/>
      <c r="F19" s="76">
        <f t="shared" si="7"/>
        <v>7.4352163047727311</v>
      </c>
      <c r="G19" s="78"/>
      <c r="H19" s="27">
        <f t="shared" si="8"/>
        <v>0.16596481845439953</v>
      </c>
      <c r="I19" s="1">
        <f t="shared" si="9"/>
        <v>2.2937576671344972</v>
      </c>
      <c r="J19" s="1">
        <f t="shared" si="10"/>
        <v>11530.220295757599</v>
      </c>
      <c r="K19" s="27">
        <f t="shared" si="11"/>
        <v>257.37125050367115</v>
      </c>
    </row>
    <row r="20" spans="1:11" x14ac:dyDescent="0.3">
      <c r="A20" s="81" t="s">
        <v>154</v>
      </c>
      <c r="B20" s="81"/>
      <c r="C20" s="81"/>
      <c r="D20" s="81"/>
      <c r="E20" s="81"/>
      <c r="F20" s="81"/>
      <c r="G20" s="81"/>
      <c r="H20" s="81"/>
      <c r="I20" s="81"/>
      <c r="J20" s="81"/>
      <c r="K20" s="81"/>
    </row>
    <row r="21" spans="1:11" x14ac:dyDescent="0.3">
      <c r="A21" s="1">
        <v>1</v>
      </c>
      <c r="B21" s="1">
        <v>0</v>
      </c>
      <c r="C21" s="76">
        <f>B21*C$5/100</f>
        <v>0</v>
      </c>
      <c r="D21" s="77"/>
      <c r="E21" s="78"/>
      <c r="F21" s="82">
        <f>'Passenger transport data'!D13</f>
        <v>6.5660971887100503</v>
      </c>
      <c r="G21" s="82"/>
      <c r="H21" s="30">
        <f>F21/A21</f>
        <v>6.5660971887100503</v>
      </c>
      <c r="I21" s="1">
        <v>0</v>
      </c>
      <c r="J21" s="1">
        <f>F21*K$6</f>
        <v>1497.0701590258914</v>
      </c>
      <c r="K21" s="30">
        <f>J21/A21</f>
        <v>1497.0701590258914</v>
      </c>
    </row>
    <row r="22" spans="1:11" x14ac:dyDescent="0.3">
      <c r="A22" s="18">
        <f>'Passenger transport data'!H5</f>
        <v>8.4699081514376751</v>
      </c>
      <c r="B22" s="1">
        <f>C$7*A22</f>
        <v>677.59265211501406</v>
      </c>
      <c r="C22" s="76">
        <f>B22*C$5/100</f>
        <v>0.27103706084600565</v>
      </c>
      <c r="D22" s="77"/>
      <c r="E22" s="78"/>
      <c r="F22" s="79">
        <f>F$21+C22</f>
        <v>6.8371342495560556</v>
      </c>
      <c r="G22" s="80"/>
      <c r="H22" s="27">
        <f t="shared" ref="H22:H24" si="12">F22/A22</f>
        <v>0.80722649257955958</v>
      </c>
      <c r="I22" s="1">
        <f>C$6*B22</f>
        <v>67.759265211501415</v>
      </c>
      <c r="J22" s="1">
        <f>F22*(I22+J$21)</f>
        <v>10698.94885116656</v>
      </c>
      <c r="K22" s="27">
        <f t="shared" ref="K22:K24" si="13">J22/A22</f>
        <v>1263.1717676124422</v>
      </c>
    </row>
    <row r="23" spans="1:11" x14ac:dyDescent="0.3">
      <c r="A23" s="18">
        <f>'Passenger transport data'!I5</f>
        <v>26.634931293829165</v>
      </c>
      <c r="B23" s="1">
        <f t="shared" ref="B23:B24" si="14">C$7*A23</f>
        <v>2130.7945035063331</v>
      </c>
      <c r="C23" s="76">
        <f t="shared" ref="C23:C24" si="15">B23*C$5/100</f>
        <v>0.85231780140253321</v>
      </c>
      <c r="D23" s="77"/>
      <c r="E23" s="78"/>
      <c r="F23" s="76">
        <f>F$21+C23</f>
        <v>7.4184149901125833</v>
      </c>
      <c r="G23" s="78"/>
      <c r="H23" s="27">
        <f t="shared" si="12"/>
        <v>0.27852202464029996</v>
      </c>
      <c r="I23" s="1">
        <f t="shared" ref="I23:I24" si="16">C$6*B23</f>
        <v>213.07945035063332</v>
      </c>
      <c r="J23" s="1">
        <f t="shared" ref="J23:J24" si="17">F23*(I23+J$21)</f>
        <v>12686.599497533989</v>
      </c>
      <c r="K23" s="27">
        <f t="shared" si="13"/>
        <v>476.31433164136774</v>
      </c>
    </row>
    <row r="24" spans="1:11" x14ac:dyDescent="0.3">
      <c r="A24" s="18">
        <f>'Passenger transport data'!J5</f>
        <v>44.799954436220652</v>
      </c>
      <c r="B24" s="1">
        <f t="shared" si="14"/>
        <v>3583.9963548976521</v>
      </c>
      <c r="C24" s="76">
        <f t="shared" si="15"/>
        <v>1.4335985419590609</v>
      </c>
      <c r="D24" s="77"/>
      <c r="E24" s="78"/>
      <c r="F24" s="76">
        <f t="shared" ref="F24" si="18">F$21+C24</f>
        <v>7.999695730669111</v>
      </c>
      <c r="G24" s="78"/>
      <c r="H24" s="27">
        <f t="shared" si="12"/>
        <v>0.1785648184543995</v>
      </c>
      <c r="I24" s="1">
        <f t="shared" si="16"/>
        <v>358.39963548976522</v>
      </c>
      <c r="J24" s="1">
        <f t="shared" si="17"/>
        <v>14843.193793572391</v>
      </c>
      <c r="K24" s="27">
        <f t="shared" si="13"/>
        <v>331.32162700531018</v>
      </c>
    </row>
    <row r="25" spans="1:11" x14ac:dyDescent="0.3">
      <c r="A25" s="81" t="s">
        <v>155</v>
      </c>
      <c r="B25" s="81"/>
      <c r="C25" s="81"/>
      <c r="D25" s="81"/>
      <c r="E25" s="81"/>
      <c r="F25" s="81"/>
      <c r="G25" s="81"/>
      <c r="H25" s="81"/>
      <c r="I25" s="81"/>
      <c r="J25" s="81"/>
      <c r="K25" s="81"/>
    </row>
    <row r="26" spans="1:11" x14ac:dyDescent="0.3">
      <c r="A26" s="1">
        <v>1</v>
      </c>
      <c r="B26" s="1">
        <v>0</v>
      </c>
      <c r="C26" s="76">
        <f>B26*C$5/100</f>
        <v>0</v>
      </c>
      <c r="D26" s="77"/>
      <c r="E26" s="78"/>
      <c r="F26" s="82">
        <f>'Passenger transport data'!D13</f>
        <v>6.5660971887100503</v>
      </c>
      <c r="G26" s="82"/>
      <c r="H26" s="30">
        <f>F26/A26</f>
        <v>6.5660971887100503</v>
      </c>
      <c r="I26" s="1">
        <v>0</v>
      </c>
      <c r="J26" s="1">
        <f>C$8*F26</f>
        <v>1665.5190633443376</v>
      </c>
      <c r="K26" s="30">
        <f>J26/A26</f>
        <v>1665.5190633443376</v>
      </c>
    </row>
    <row r="27" spans="1:11" x14ac:dyDescent="0.3">
      <c r="A27" s="18">
        <f>'Passenger transport data'!H5</f>
        <v>8.4699081514376751</v>
      </c>
      <c r="B27" s="1">
        <f>C$7*A27</f>
        <v>677.59265211501406</v>
      </c>
      <c r="C27" s="76">
        <f>B27*C$5/100</f>
        <v>0.27103706084600565</v>
      </c>
      <c r="D27" s="77"/>
      <c r="E27" s="78"/>
      <c r="F27" s="79">
        <f>F$26+C27</f>
        <v>6.8371342495560556</v>
      </c>
      <c r="G27" s="80"/>
      <c r="H27" s="27">
        <f>F27/A27</f>
        <v>0.80722649257955958</v>
      </c>
      <c r="I27" s="1">
        <f>C$6*B27</f>
        <v>67.759265211501415</v>
      </c>
      <c r="J27" s="1">
        <f>F27*(I27+J$26)</f>
        <v>11850.6566241824</v>
      </c>
      <c r="K27" s="27">
        <f>J27/A27</f>
        <v>1399.1481858242914</v>
      </c>
    </row>
    <row r="28" spans="1:11" x14ac:dyDescent="0.3">
      <c r="A28" s="18">
        <f>'Passenger transport data'!I5</f>
        <v>26.634931293829165</v>
      </c>
      <c r="B28" s="1">
        <f t="shared" ref="B28:B29" si="19">C$7*A28</f>
        <v>2130.7945035063331</v>
      </c>
      <c r="C28" s="76">
        <f t="shared" ref="C28:C29" si="20">B28*C$5/100</f>
        <v>0.85231780140253321</v>
      </c>
      <c r="D28" s="77"/>
      <c r="E28" s="78"/>
      <c r="F28" s="79">
        <f t="shared" ref="F28:F29" si="21">F$26+C28</f>
        <v>7.4184149901125833</v>
      </c>
      <c r="G28" s="80"/>
      <c r="H28" s="27">
        <f t="shared" ref="H28:H29" si="22">F28/A28</f>
        <v>0.27852202464029996</v>
      </c>
      <c r="I28" s="1">
        <f t="shared" ref="I28:I29" si="23">C$6*B28</f>
        <v>213.07945035063332</v>
      </c>
      <c r="J28" s="1">
        <f t="shared" ref="J28:J29" si="24">F28*(I28+J$26)</f>
        <v>13936.223374397992</v>
      </c>
      <c r="K28" s="27">
        <f t="shared" ref="K28:K29" si="25">J28/A28</f>
        <v>523.23106152058165</v>
      </c>
    </row>
    <row r="29" spans="1:11" x14ac:dyDescent="0.3">
      <c r="A29" s="18">
        <f>'Passenger transport data'!J5</f>
        <v>44.799954436220652</v>
      </c>
      <c r="B29" s="1">
        <f t="shared" si="19"/>
        <v>3583.9963548976521</v>
      </c>
      <c r="C29" s="76">
        <f t="shared" si="20"/>
        <v>1.4335985419590609</v>
      </c>
      <c r="D29" s="77"/>
      <c r="E29" s="78"/>
      <c r="F29" s="79">
        <f t="shared" si="21"/>
        <v>7.999695730669111</v>
      </c>
      <c r="G29" s="80"/>
      <c r="H29" s="27">
        <f t="shared" si="22"/>
        <v>0.1785648184543995</v>
      </c>
      <c r="I29" s="1">
        <f t="shared" si="23"/>
        <v>358.39963548976522</v>
      </c>
      <c r="J29" s="1">
        <f t="shared" si="24"/>
        <v>16190.733774284554</v>
      </c>
      <c r="K29" s="27">
        <f t="shared" si="25"/>
        <v>361.40067502377605</v>
      </c>
    </row>
    <row r="30" spans="1:11" x14ac:dyDescent="0.3">
      <c r="A30" s="81" t="s">
        <v>156</v>
      </c>
      <c r="B30" s="81"/>
      <c r="C30" s="81"/>
      <c r="D30" s="81"/>
      <c r="E30" s="81"/>
      <c r="F30" s="81"/>
      <c r="G30" s="81"/>
      <c r="H30" s="81"/>
      <c r="I30" s="81"/>
      <c r="J30" s="81"/>
      <c r="K30" s="81"/>
    </row>
    <row r="31" spans="1:11" x14ac:dyDescent="0.3">
      <c r="A31" s="1">
        <v>1</v>
      </c>
      <c r="B31" s="1">
        <v>0</v>
      </c>
      <c r="C31" s="76">
        <f>B31*C$5/100</f>
        <v>0</v>
      </c>
      <c r="D31" s="77"/>
      <c r="E31" s="78"/>
      <c r="F31" s="82">
        <f>'Passenger transport data'!D13</f>
        <v>6.5660971887100503</v>
      </c>
      <c r="G31" s="82"/>
      <c r="H31" s="30">
        <f>F31/A31</f>
        <v>6.5660971887100503</v>
      </c>
      <c r="I31" s="1">
        <v>0</v>
      </c>
      <c r="J31" s="1">
        <f>K$8*F31</f>
        <v>1654.5158991626768</v>
      </c>
      <c r="K31" s="30">
        <f>J31/A31</f>
        <v>1654.5158991626768</v>
      </c>
    </row>
    <row r="32" spans="1:11" x14ac:dyDescent="0.3">
      <c r="A32" s="18">
        <f>'Passenger transport data'!H5</f>
        <v>8.4699081514376751</v>
      </c>
      <c r="B32" s="1">
        <f>C$7*A32</f>
        <v>677.59265211501406</v>
      </c>
      <c r="C32" s="76">
        <f>B32*C$5/100</f>
        <v>0.27103706084600565</v>
      </c>
      <c r="D32" s="77"/>
      <c r="E32" s="78"/>
      <c r="F32" s="79">
        <f>F$31+C32</f>
        <v>6.8371342495560556</v>
      </c>
      <c r="G32" s="80"/>
      <c r="H32" s="27">
        <f>F32/A32</f>
        <v>0.80722649257955958</v>
      </c>
      <c r="I32" s="1">
        <f>C$6*B32</f>
        <v>67.759265211501415</v>
      </c>
      <c r="J32" s="1">
        <f>F32*(I32+J$31)</f>
        <v>11775.426513502478</v>
      </c>
      <c r="K32" s="27">
        <f t="shared" ref="K32:K34" si="26">J32/A32</f>
        <v>1390.2661401946523</v>
      </c>
    </row>
    <row r="33" spans="1:11" x14ac:dyDescent="0.3">
      <c r="A33" s="18">
        <f>'Passenger transport data'!I5</f>
        <v>26.634931293829165</v>
      </c>
      <c r="B33" s="1">
        <f t="shared" ref="B33:B34" si="27">C$7*A33</f>
        <v>2130.7945035063331</v>
      </c>
      <c r="C33" s="76">
        <f t="shared" ref="C33:C34" si="28">B33*C$5/100</f>
        <v>0.85231780140253321</v>
      </c>
      <c r="D33" s="77"/>
      <c r="E33" s="78"/>
      <c r="F33" s="79">
        <f t="shared" ref="F33:F34" si="29">F$31+C33</f>
        <v>7.4184149901125833</v>
      </c>
      <c r="G33" s="80"/>
      <c r="H33" s="27">
        <f t="shared" ref="H33:H34" si="30">F33/A33</f>
        <v>0.27852202464029996</v>
      </c>
      <c r="I33" s="1">
        <f t="shared" ref="I33:I34" si="31">C$6*B33</f>
        <v>213.07945035063332</v>
      </c>
      <c r="J33" s="1">
        <f t="shared" ref="J33:J34" si="32">F33*(I33+J$31)</f>
        <v>13854.597336294089</v>
      </c>
      <c r="K33" s="27">
        <f t="shared" si="26"/>
        <v>520.16643795525579</v>
      </c>
    </row>
    <row r="34" spans="1:11" x14ac:dyDescent="0.3">
      <c r="A34" s="18">
        <f>'Passenger transport data'!J5</f>
        <v>44.799954436220652</v>
      </c>
      <c r="B34" s="1">
        <f t="shared" si="27"/>
        <v>3583.9963548976521</v>
      </c>
      <c r="C34" s="76">
        <f t="shared" si="28"/>
        <v>1.4335985419590609</v>
      </c>
      <c r="D34" s="77"/>
      <c r="E34" s="78"/>
      <c r="F34" s="79">
        <f t="shared" si="29"/>
        <v>7.999695730669111</v>
      </c>
      <c r="G34" s="80"/>
      <c r="H34" s="27">
        <f t="shared" si="30"/>
        <v>0.1785648184543995</v>
      </c>
      <c r="I34" s="1">
        <f t="shared" si="31"/>
        <v>358.39963548976522</v>
      </c>
      <c r="J34" s="1">
        <f t="shared" si="32"/>
        <v>16102.711808756671</v>
      </c>
      <c r="K34" s="27">
        <f t="shared" si="26"/>
        <v>359.43589700925384</v>
      </c>
    </row>
  </sheetData>
  <mergeCells count="54">
    <mergeCell ref="B2:G2"/>
    <mergeCell ref="H2:M2"/>
    <mergeCell ref="B4:B6"/>
    <mergeCell ref="E4:E7"/>
    <mergeCell ref="H4:H6"/>
    <mergeCell ref="L7:M8"/>
    <mergeCell ref="A8:A9"/>
    <mergeCell ref="C9:E9"/>
    <mergeCell ref="F9:G9"/>
    <mergeCell ref="A10:K10"/>
    <mergeCell ref="C11:E11"/>
    <mergeCell ref="F11:G11"/>
    <mergeCell ref="C18:E18"/>
    <mergeCell ref="F18:G18"/>
    <mergeCell ref="C12:E12"/>
    <mergeCell ref="F12:G12"/>
    <mergeCell ref="C13:E13"/>
    <mergeCell ref="F13:G13"/>
    <mergeCell ref="C14:E14"/>
    <mergeCell ref="F14:G14"/>
    <mergeCell ref="A15:K15"/>
    <mergeCell ref="C16:E16"/>
    <mergeCell ref="F16:G16"/>
    <mergeCell ref="C17:E17"/>
    <mergeCell ref="F17:G17"/>
    <mergeCell ref="C22:E22"/>
    <mergeCell ref="F22:G22"/>
    <mergeCell ref="C23:E23"/>
    <mergeCell ref="F23:G23"/>
    <mergeCell ref="C24:E24"/>
    <mergeCell ref="F24:G24"/>
    <mergeCell ref="C19:E19"/>
    <mergeCell ref="F19:G19"/>
    <mergeCell ref="A20:K20"/>
    <mergeCell ref="C21:E21"/>
    <mergeCell ref="F21:G21"/>
    <mergeCell ref="C28:E28"/>
    <mergeCell ref="F28:G28"/>
    <mergeCell ref="A25:K25"/>
    <mergeCell ref="C26:E26"/>
    <mergeCell ref="F26:G26"/>
    <mergeCell ref="C27:E27"/>
    <mergeCell ref="F27:G27"/>
    <mergeCell ref="C33:E33"/>
    <mergeCell ref="F33:G33"/>
    <mergeCell ref="C34:E34"/>
    <mergeCell ref="F34:G34"/>
    <mergeCell ref="C29:E29"/>
    <mergeCell ref="F29:G29"/>
    <mergeCell ref="A30:K30"/>
    <mergeCell ref="C31:E31"/>
    <mergeCell ref="F31:G31"/>
    <mergeCell ref="C32:E32"/>
    <mergeCell ref="F32:G3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359E37-A469-4226-9797-F48112BE5D15}">
  <sheetPr>
    <pageSetUpPr fitToPage="1"/>
  </sheetPr>
  <dimension ref="A1:K28"/>
  <sheetViews>
    <sheetView topLeftCell="H1" zoomScale="80" zoomScaleNormal="80" workbookViewId="0">
      <selection activeCell="K17" sqref="K17:K18"/>
    </sheetView>
  </sheetViews>
  <sheetFormatPr baseColWidth="10" defaultRowHeight="14.4" x14ac:dyDescent="0.3"/>
  <cols>
    <col min="1" max="1" width="10.6640625" customWidth="1"/>
    <col min="2" max="2" width="25.6640625" customWidth="1"/>
    <col min="3" max="3" width="7.6640625" customWidth="1"/>
    <col min="4" max="4" width="16.21875" customWidth="1"/>
    <col min="5" max="5" width="9.6640625" customWidth="1"/>
    <col min="6" max="6" width="15.77734375" customWidth="1"/>
    <col min="7" max="7" width="14.33203125" customWidth="1"/>
    <col min="8" max="8" width="37.21875" customWidth="1"/>
    <col min="9" max="9" width="27.109375" customWidth="1"/>
    <col min="10" max="10" width="27.77734375" customWidth="1"/>
    <col min="11" max="11" width="31.77734375" customWidth="1"/>
    <col min="12" max="12" width="13.88671875" customWidth="1"/>
    <col min="14" max="14" width="13.109375" customWidth="1"/>
  </cols>
  <sheetData>
    <row r="1" spans="1:11" ht="15" thickBot="1" x14ac:dyDescent="0.35"/>
    <row r="2" spans="1:11" x14ac:dyDescent="0.3">
      <c r="B2" s="85" t="s">
        <v>122</v>
      </c>
      <c r="C2" s="86"/>
      <c r="D2" s="86"/>
      <c r="E2" s="86"/>
      <c r="F2" s="86"/>
      <c r="G2" s="87"/>
    </row>
    <row r="3" spans="1:11" x14ac:dyDescent="0.3">
      <c r="B3" s="19" t="s">
        <v>104</v>
      </c>
      <c r="C3" s="8"/>
      <c r="D3" s="8"/>
      <c r="E3" s="8"/>
      <c r="F3" s="8"/>
      <c r="G3" s="20"/>
    </row>
    <row r="4" spans="1:11" x14ac:dyDescent="0.3">
      <c r="B4" s="88" t="s">
        <v>106</v>
      </c>
      <c r="C4" s="8">
        <v>4.0000000000000001E-3</v>
      </c>
      <c r="D4" s="8" t="s">
        <v>105</v>
      </c>
      <c r="E4" s="93" t="s">
        <v>112</v>
      </c>
      <c r="F4" s="8"/>
      <c r="G4" s="20"/>
    </row>
    <row r="5" spans="1:11" x14ac:dyDescent="0.3">
      <c r="B5" s="88"/>
      <c r="C5" s="8">
        <f>C4*10</f>
        <v>0.04</v>
      </c>
      <c r="D5" s="8" t="s">
        <v>86</v>
      </c>
      <c r="E5" s="93"/>
      <c r="F5" s="8"/>
      <c r="G5" s="20"/>
    </row>
    <row r="6" spans="1:11" x14ac:dyDescent="0.3">
      <c r="B6" s="88"/>
      <c r="C6" s="8">
        <v>0.1</v>
      </c>
      <c r="D6" s="8" t="s">
        <v>66</v>
      </c>
      <c r="E6" s="93"/>
      <c r="F6" s="8"/>
      <c r="G6" s="20"/>
    </row>
    <row r="7" spans="1:11" x14ac:dyDescent="0.3">
      <c r="B7" s="19" t="s">
        <v>110</v>
      </c>
      <c r="C7" s="8">
        <v>80</v>
      </c>
      <c r="D7" s="8" t="s">
        <v>111</v>
      </c>
      <c r="E7" s="93"/>
      <c r="F7" s="8"/>
      <c r="G7" s="20"/>
    </row>
    <row r="8" spans="1:11" ht="15" thickBot="1" x14ac:dyDescent="0.35">
      <c r="A8" s="83" t="s">
        <v>109</v>
      </c>
      <c r="B8" s="21" t="s">
        <v>107</v>
      </c>
      <c r="C8" s="25">
        <f>'Passenger transport data'!D16*10^3</f>
        <v>247.40720948314191</v>
      </c>
      <c r="D8" s="22" t="s">
        <v>108</v>
      </c>
      <c r="E8" s="22" t="s">
        <v>147</v>
      </c>
      <c r="F8" s="22">
        <f>'Passenger transport data'!D15*10^3</f>
        <v>266.55202063628548</v>
      </c>
      <c r="G8" s="22" t="s">
        <v>108</v>
      </c>
    </row>
    <row r="9" spans="1:11" x14ac:dyDescent="0.3">
      <c r="A9" s="56"/>
      <c r="B9" s="11" t="s">
        <v>113</v>
      </c>
      <c r="C9" s="84" t="s">
        <v>114</v>
      </c>
      <c r="D9" s="84"/>
      <c r="E9" s="84"/>
      <c r="F9" s="84" t="s">
        <v>115</v>
      </c>
      <c r="G9" s="84"/>
      <c r="H9" s="1" t="s">
        <v>116</v>
      </c>
      <c r="I9" s="1" t="s">
        <v>118</v>
      </c>
      <c r="J9" s="1" t="s">
        <v>119</v>
      </c>
      <c r="K9" s="1" t="s">
        <v>117</v>
      </c>
    </row>
    <row r="10" spans="1:11" x14ac:dyDescent="0.3">
      <c r="A10" s="81" t="s">
        <v>120</v>
      </c>
      <c r="B10" s="81"/>
      <c r="C10" s="81"/>
      <c r="D10" s="81"/>
      <c r="E10" s="81"/>
      <c r="F10" s="81"/>
      <c r="G10" s="81"/>
      <c r="H10" s="81"/>
      <c r="I10" s="81"/>
      <c r="J10" s="81"/>
      <c r="K10" s="81"/>
    </row>
    <row r="11" spans="1:11" x14ac:dyDescent="0.3">
      <c r="A11" s="1">
        <v>1</v>
      </c>
      <c r="B11" s="1">
        <v>0</v>
      </c>
      <c r="C11" s="82">
        <f>C$5*B11/100</f>
        <v>0</v>
      </c>
      <c r="D11" s="82"/>
      <c r="E11" s="82"/>
      <c r="F11" s="98">
        <f>'Passenger transport data'!D10</f>
        <v>0.75826272932023131</v>
      </c>
      <c r="G11" s="98"/>
      <c r="H11" s="27">
        <f>F11/A11</f>
        <v>0.75826272932023131</v>
      </c>
      <c r="I11" s="1">
        <v>0</v>
      </c>
      <c r="J11" s="1">
        <f>C$8*F11</f>
        <v>187.59966591618939</v>
      </c>
      <c r="K11" s="27">
        <f>J11/A11</f>
        <v>187.59966591618939</v>
      </c>
    </row>
    <row r="12" spans="1:11" x14ac:dyDescent="0.3">
      <c r="A12" s="1">
        <v>2</v>
      </c>
      <c r="B12" s="1">
        <f>B11+C$7</f>
        <v>80</v>
      </c>
      <c r="C12" s="82">
        <f>C$5*B12/100</f>
        <v>3.2000000000000001E-2</v>
      </c>
      <c r="D12" s="82"/>
      <c r="E12" s="82"/>
      <c r="F12" s="82">
        <f>F$11+C12</f>
        <v>0.79026272932023134</v>
      </c>
      <c r="G12" s="82"/>
      <c r="H12" s="27">
        <f t="shared" ref="H12:H15" si="0">F12/A12</f>
        <v>0.39513136466011567</v>
      </c>
      <c r="I12" s="1">
        <f>C$6*B12</f>
        <v>8</v>
      </c>
      <c r="J12" s="1">
        <f>F12*(I12+J$11)</f>
        <v>154.57512584105325</v>
      </c>
      <c r="K12" s="27">
        <f t="shared" ref="K12:K15" si="1">J12/A12</f>
        <v>77.287562920526625</v>
      </c>
    </row>
    <row r="13" spans="1:11" x14ac:dyDescent="0.3">
      <c r="A13" s="1">
        <v>3</v>
      </c>
      <c r="B13" s="1">
        <f t="shared" ref="B13:B15" si="2">B12+C$7</f>
        <v>160</v>
      </c>
      <c r="C13" s="82">
        <f>C$5*B13/100</f>
        <v>6.4000000000000001E-2</v>
      </c>
      <c r="D13" s="82"/>
      <c r="E13" s="82"/>
      <c r="F13" s="82">
        <f t="shared" ref="F13:F15" si="3">F$11+C13</f>
        <v>0.82226272932023137</v>
      </c>
      <c r="G13" s="82"/>
      <c r="H13" s="27">
        <f t="shared" si="0"/>
        <v>0.27408757644007714</v>
      </c>
      <c r="I13" s="1">
        <f t="shared" ref="I13:I15" si="4">C$6*B13</f>
        <v>16</v>
      </c>
      <c r="J13" s="1">
        <f t="shared" ref="J13:J15" si="5">F13*(I13+J$11)</f>
        <v>167.41241698493317</v>
      </c>
      <c r="K13" s="27">
        <f t="shared" si="1"/>
        <v>55.804138994977727</v>
      </c>
    </row>
    <row r="14" spans="1:11" x14ac:dyDescent="0.3">
      <c r="A14" s="1">
        <v>4</v>
      </c>
      <c r="B14" s="1">
        <f t="shared" si="2"/>
        <v>240</v>
      </c>
      <c r="C14" s="82">
        <f>C$5*B14/100</f>
        <v>9.6000000000000002E-2</v>
      </c>
      <c r="D14" s="82"/>
      <c r="E14" s="82"/>
      <c r="F14" s="82">
        <f t="shared" si="3"/>
        <v>0.85426272932023128</v>
      </c>
      <c r="G14" s="82"/>
      <c r="H14" s="27">
        <f t="shared" si="0"/>
        <v>0.21356568233005782</v>
      </c>
      <c r="I14" s="1">
        <f t="shared" si="4"/>
        <v>24</v>
      </c>
      <c r="J14" s="1">
        <f t="shared" si="5"/>
        <v>180.76170812881307</v>
      </c>
      <c r="K14" s="27">
        <f t="shared" si="1"/>
        <v>45.190427032203267</v>
      </c>
    </row>
    <row r="15" spans="1:11" x14ac:dyDescent="0.3">
      <c r="A15" s="1">
        <v>5</v>
      </c>
      <c r="B15" s="1">
        <f t="shared" si="2"/>
        <v>320</v>
      </c>
      <c r="C15" s="82">
        <f>C$5*B15/100</f>
        <v>0.128</v>
      </c>
      <c r="D15" s="82"/>
      <c r="E15" s="82"/>
      <c r="F15" s="82">
        <f t="shared" si="3"/>
        <v>0.88626272932023131</v>
      </c>
      <c r="G15" s="82"/>
      <c r="H15" s="27">
        <f t="shared" si="0"/>
        <v>0.17725254586404626</v>
      </c>
      <c r="I15" s="1">
        <f t="shared" si="4"/>
        <v>32</v>
      </c>
      <c r="J15" s="1">
        <f t="shared" si="5"/>
        <v>194.62299927269299</v>
      </c>
      <c r="K15" s="27">
        <f t="shared" si="1"/>
        <v>38.924599854538599</v>
      </c>
    </row>
    <row r="16" spans="1:11" x14ac:dyDescent="0.3">
      <c r="A16" s="81" t="s">
        <v>121</v>
      </c>
      <c r="B16" s="81"/>
      <c r="C16" s="81"/>
      <c r="D16" s="81"/>
      <c r="E16" s="81"/>
      <c r="F16" s="81"/>
      <c r="G16" s="81"/>
      <c r="H16" s="81"/>
      <c r="I16" s="81"/>
      <c r="J16" s="81"/>
      <c r="K16" s="81"/>
    </row>
    <row r="17" spans="1:11" x14ac:dyDescent="0.3">
      <c r="A17" s="1">
        <v>1</v>
      </c>
      <c r="B17" s="1">
        <v>0</v>
      </c>
      <c r="C17" s="82">
        <f>C$5*B17/100</f>
        <v>0</v>
      </c>
      <c r="D17" s="82"/>
      <c r="E17" s="82"/>
      <c r="F17" s="98">
        <f>'Passenger transport data'!D8</f>
        <v>0.49732830680145418</v>
      </c>
      <c r="G17" s="98"/>
      <c r="H17" s="27">
        <f>F17/A17</f>
        <v>0.49732830680145418</v>
      </c>
      <c r="I17" s="1">
        <v>0</v>
      </c>
      <c r="J17" s="1">
        <f>C$8*F17</f>
        <v>123.04260858272364</v>
      </c>
      <c r="K17" s="27">
        <f>J17/A17</f>
        <v>123.04260858272364</v>
      </c>
    </row>
    <row r="18" spans="1:11" x14ac:dyDescent="0.3">
      <c r="A18" s="1">
        <v>2</v>
      </c>
      <c r="B18" s="1">
        <f>C7+B17</f>
        <v>80</v>
      </c>
      <c r="C18" s="82">
        <f>C$5*B18/100</f>
        <v>3.2000000000000001E-2</v>
      </c>
      <c r="D18" s="82"/>
      <c r="E18" s="82"/>
      <c r="F18" s="82">
        <f>F17+C18</f>
        <v>0.52932830680145415</v>
      </c>
      <c r="G18" s="82"/>
      <c r="H18" s="27">
        <f>F18/A18</f>
        <v>0.26466415340072708</v>
      </c>
      <c r="I18" s="1">
        <f>C6*B18</f>
        <v>8</v>
      </c>
      <c r="J18" s="1">
        <f>F18*(I18+J17)</f>
        <v>69.364562119938796</v>
      </c>
      <c r="K18" s="27">
        <f>J18/A18</f>
        <v>34.682281059969398</v>
      </c>
    </row>
    <row r="19" spans="1:11" x14ac:dyDescent="0.3">
      <c r="A19" s="81" t="s">
        <v>87</v>
      </c>
      <c r="B19" s="81"/>
      <c r="C19" s="81"/>
      <c r="D19" s="81"/>
      <c r="E19" s="81"/>
      <c r="F19" s="81"/>
      <c r="G19" s="81"/>
      <c r="H19" s="81"/>
      <c r="I19" s="81"/>
      <c r="J19" s="81"/>
      <c r="K19" s="81"/>
    </row>
    <row r="20" spans="1:11" x14ac:dyDescent="0.3">
      <c r="A20" s="1">
        <v>1</v>
      </c>
      <c r="B20" s="1">
        <v>0</v>
      </c>
      <c r="C20" s="76">
        <f>B20*C$5/100</f>
        <v>0</v>
      </c>
      <c r="D20" s="77"/>
      <c r="E20" s="78"/>
      <c r="F20" s="94">
        <f>'Passenger transport data'!D13</f>
        <v>6.5660971887100503</v>
      </c>
      <c r="G20" s="95"/>
      <c r="H20" s="30">
        <f>F20/A20</f>
        <v>6.5660971887100503</v>
      </c>
      <c r="I20" s="1">
        <v>0</v>
      </c>
      <c r="J20" s="1">
        <f>C$8*F20</f>
        <v>1624.4997826538565</v>
      </c>
      <c r="K20" s="1">
        <f>J20/A20</f>
        <v>1624.4997826538565</v>
      </c>
    </row>
    <row r="21" spans="1:11" x14ac:dyDescent="0.3">
      <c r="A21" s="18">
        <f>'Passenger transport data'!H5</f>
        <v>8.4699081514376751</v>
      </c>
      <c r="B21" s="1">
        <f>C$7*A21</f>
        <v>677.59265211501406</v>
      </c>
      <c r="C21" s="76">
        <f>B21*C$5/100</f>
        <v>0.27103706084600565</v>
      </c>
      <c r="D21" s="77"/>
      <c r="E21" s="78"/>
      <c r="F21" s="96">
        <f>F$20+C21</f>
        <v>6.8371342495560556</v>
      </c>
      <c r="G21" s="97"/>
      <c r="H21" s="27">
        <f t="shared" ref="H21:H23" si="6">F21/A21</f>
        <v>0.80722649257955958</v>
      </c>
      <c r="I21" s="1">
        <f>C$6*B21</f>
        <v>67.759265211501415</v>
      </c>
      <c r="J21" s="1">
        <f>F21*(I21+J$20)</f>
        <v>11570.202295281359</v>
      </c>
      <c r="K21" s="27">
        <f t="shared" ref="K21:K23" si="7">J21/A21</f>
        <v>1366.0363357443778</v>
      </c>
    </row>
    <row r="22" spans="1:11" x14ac:dyDescent="0.3">
      <c r="A22" s="18">
        <f>'Passenger transport data'!I5</f>
        <v>26.634931293829165</v>
      </c>
      <c r="B22" s="1">
        <f t="shared" ref="B22:B23" si="8">C$7*A22</f>
        <v>2130.7945035063331</v>
      </c>
      <c r="C22" s="76">
        <f t="shared" ref="C22:C23" si="9">B22*C$5/100</f>
        <v>0.85231780140253321</v>
      </c>
      <c r="D22" s="77"/>
      <c r="E22" s="78"/>
      <c r="F22" s="76">
        <f>F$20+C22</f>
        <v>7.4184149901125833</v>
      </c>
      <c r="G22" s="78"/>
      <c r="H22" s="27">
        <f t="shared" si="6"/>
        <v>0.27852202464029996</v>
      </c>
      <c r="I22" s="1">
        <f t="shared" ref="I22:I23" si="10">C$6*B22</f>
        <v>213.07945035063332</v>
      </c>
      <c r="J22" s="1">
        <f t="shared" ref="J22:J23" si="11">F22*(I22+J$20)</f>
        <v>13631.92532764009</v>
      </c>
      <c r="K22" s="27">
        <f t="shared" si="7"/>
        <v>511.80628841338</v>
      </c>
    </row>
    <row r="23" spans="1:11" x14ac:dyDescent="0.3">
      <c r="A23" s="18">
        <f>'Passenger transport data'!J5</f>
        <v>44.799954436220652</v>
      </c>
      <c r="B23" s="1">
        <f t="shared" si="8"/>
        <v>3583.9963548976521</v>
      </c>
      <c r="C23" s="76">
        <f t="shared" si="9"/>
        <v>1.4335985419590609</v>
      </c>
      <c r="D23" s="77"/>
      <c r="E23" s="78"/>
      <c r="F23" s="76">
        <f t="shared" ref="F23" si="12">F$20+C23</f>
        <v>7.999695730669111</v>
      </c>
      <c r="G23" s="78"/>
      <c r="H23" s="27">
        <f t="shared" si="6"/>
        <v>0.1785648184543995</v>
      </c>
      <c r="I23" s="1">
        <f t="shared" si="10"/>
        <v>358.39963548976522</v>
      </c>
      <c r="J23" s="1">
        <f t="shared" si="11"/>
        <v>15862.592009669796</v>
      </c>
      <c r="K23" s="27">
        <f t="shared" si="7"/>
        <v>354.07607461415029</v>
      </c>
    </row>
    <row r="24" spans="1:11" x14ac:dyDescent="0.3">
      <c r="A24" t="s">
        <v>146</v>
      </c>
    </row>
    <row r="25" spans="1:11" x14ac:dyDescent="0.3">
      <c r="A25">
        <v>1</v>
      </c>
      <c r="B25" s="1">
        <v>0</v>
      </c>
      <c r="C25" s="76">
        <f>B25*C$5/100</f>
        <v>0</v>
      </c>
      <c r="D25" s="77"/>
      <c r="E25" s="78"/>
      <c r="F25" s="76">
        <f>'[3]Passenger transport data'!D25</f>
        <v>19.224390000000003</v>
      </c>
      <c r="G25" s="78"/>
      <c r="H25" s="30">
        <f>F25/A25</f>
        <v>19.224390000000003</v>
      </c>
      <c r="I25" s="1">
        <v>0</v>
      </c>
      <c r="J25" s="1">
        <f>F$8*F25</f>
        <v>5124.3000000000011</v>
      </c>
      <c r="K25" s="30">
        <f>J25/A25</f>
        <v>5124.3000000000011</v>
      </c>
    </row>
    <row r="26" spans="1:11" x14ac:dyDescent="0.3">
      <c r="A26" s="37">
        <f>'Passenger transport data'!H7</f>
        <v>37.764117079586732</v>
      </c>
      <c r="B26" s="1">
        <f>C$7*A26</f>
        <v>3021.1293663669385</v>
      </c>
      <c r="C26" s="76">
        <f>B26*C$5/100</f>
        <v>1.2084517465467755</v>
      </c>
      <c r="D26" s="77"/>
      <c r="E26" s="78"/>
      <c r="F26" s="79">
        <f>F$25+C26</f>
        <v>20.432841746546778</v>
      </c>
      <c r="G26" s="80"/>
      <c r="H26" s="27">
        <f t="shared" ref="H26:H28" si="13">F26/A26</f>
        <v>0.54106499308550449</v>
      </c>
      <c r="I26" s="1">
        <f>C$6*B26</f>
        <v>302.11293663669386</v>
      </c>
      <c r="J26" s="1">
        <f>F26*(I26+J$25)</f>
        <v>110877.03678571177</v>
      </c>
      <c r="K26" s="27">
        <f t="shared" ref="K26:K28" si="14">J26/A26</f>
        <v>2936.0420780404256</v>
      </c>
    </row>
    <row r="27" spans="1:11" x14ac:dyDescent="0.3">
      <c r="A27" s="37">
        <f>'Passenger transport data'!I7</f>
        <v>118.75508515593312</v>
      </c>
      <c r="B27" s="1">
        <f t="shared" ref="B27" si="15">C$7*A27</f>
        <v>9500.40681247465</v>
      </c>
      <c r="C27" s="76">
        <f t="shared" ref="C27:C28" si="16">B27*C$5/100</f>
        <v>3.80016272498986</v>
      </c>
      <c r="D27" s="77"/>
      <c r="E27" s="78"/>
      <c r="F27" s="79">
        <f t="shared" ref="F27:F28" si="17">F$25+C27</f>
        <v>23.024552724989864</v>
      </c>
      <c r="G27" s="80"/>
      <c r="H27" s="27">
        <f t="shared" si="13"/>
        <v>0.19388266780119046</v>
      </c>
      <c r="I27" s="1">
        <f t="shared" ref="I27" si="18">C$6*B27</f>
        <v>950.04068124746505</v>
      </c>
      <c r="J27" s="1">
        <f t="shared" ref="J27:J28" si="19">F27*(I27+J$25)</f>
        <v>139858.97728493312</v>
      </c>
      <c r="K27" s="27">
        <f t="shared" si="14"/>
        <v>1177.7093764135593</v>
      </c>
    </row>
    <row r="28" spans="1:11" x14ac:dyDescent="0.3">
      <c r="A28" s="37">
        <f>'Passenger transport data'!J7</f>
        <v>199.74605323227948</v>
      </c>
      <c r="B28" s="1">
        <f>C$7*A28</f>
        <v>15979.684258582358</v>
      </c>
      <c r="C28" s="76">
        <f t="shared" si="16"/>
        <v>6.3918737034329434</v>
      </c>
      <c r="D28" s="77"/>
      <c r="E28" s="78"/>
      <c r="F28" s="79">
        <f t="shared" si="17"/>
        <v>25.616263703432946</v>
      </c>
      <c r="G28" s="80"/>
      <c r="H28" s="27">
        <f t="shared" si="13"/>
        <v>0.12824415445968518</v>
      </c>
      <c r="I28" s="1">
        <f>C$6*B28</f>
        <v>1597.9684258582358</v>
      </c>
      <c r="J28" s="1">
        <f t="shared" si="19"/>
        <v>172199.40068204567</v>
      </c>
      <c r="K28" s="27">
        <f t="shared" si="14"/>
        <v>862.09163032522838</v>
      </c>
    </row>
  </sheetData>
  <mergeCells count="39">
    <mergeCell ref="A8:A9"/>
    <mergeCell ref="B2:G2"/>
    <mergeCell ref="A19:K19"/>
    <mergeCell ref="C20:E20"/>
    <mergeCell ref="C21:E21"/>
    <mergeCell ref="C17:E17"/>
    <mergeCell ref="C18:E18"/>
    <mergeCell ref="F17:G17"/>
    <mergeCell ref="F18:G18"/>
    <mergeCell ref="A10:K10"/>
    <mergeCell ref="A16:K16"/>
    <mergeCell ref="C12:E12"/>
    <mergeCell ref="C13:E13"/>
    <mergeCell ref="C14:E14"/>
    <mergeCell ref="C15:E15"/>
    <mergeCell ref="F11:G11"/>
    <mergeCell ref="C23:E23"/>
    <mergeCell ref="F20:G20"/>
    <mergeCell ref="F21:G21"/>
    <mergeCell ref="F22:G22"/>
    <mergeCell ref="F23:G23"/>
    <mergeCell ref="F13:G13"/>
    <mergeCell ref="F14:G14"/>
    <mergeCell ref="F15:G15"/>
    <mergeCell ref="E4:E7"/>
    <mergeCell ref="C22:E22"/>
    <mergeCell ref="B4:B6"/>
    <mergeCell ref="C9:E9"/>
    <mergeCell ref="F9:G9"/>
    <mergeCell ref="C11:E11"/>
    <mergeCell ref="F12:G12"/>
    <mergeCell ref="C28:E28"/>
    <mergeCell ref="F28:G28"/>
    <mergeCell ref="C25:E25"/>
    <mergeCell ref="F25:G25"/>
    <mergeCell ref="C26:E26"/>
    <mergeCell ref="F26:G26"/>
    <mergeCell ref="C27:E27"/>
    <mergeCell ref="F27:G27"/>
  </mergeCells>
  <pageMargins left="0.7" right="0.7" top="0.75" bottom="0.75" header="0.3" footer="0.3"/>
  <pageSetup paperSize="9" scale="58"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F6F7BA-1FAD-4FBB-B871-2EAFACE5DB3D}">
  <sheetPr>
    <pageSetUpPr fitToPage="1"/>
  </sheetPr>
  <dimension ref="A1:K43"/>
  <sheetViews>
    <sheetView tabSelected="1" topLeftCell="I1" zoomScale="80" zoomScaleNormal="80" workbookViewId="0">
      <selection activeCell="K28" sqref="K28"/>
    </sheetView>
  </sheetViews>
  <sheetFormatPr baseColWidth="10" defaultRowHeight="14.4" x14ac:dyDescent="0.3"/>
  <cols>
    <col min="1" max="1" width="10.6640625" customWidth="1"/>
    <col min="2" max="2" width="25.6640625" customWidth="1"/>
    <col min="3" max="3" width="7.6640625" customWidth="1"/>
    <col min="4" max="4" width="16.21875" customWidth="1"/>
    <col min="5" max="5" width="9.6640625" customWidth="1"/>
    <col min="6" max="6" width="15.77734375" customWidth="1"/>
    <col min="7" max="7" width="14.33203125" customWidth="1"/>
    <col min="8" max="8" width="37.21875" customWidth="1"/>
    <col min="9" max="9" width="27.109375" customWidth="1"/>
    <col min="10" max="10" width="27.77734375" customWidth="1"/>
    <col min="11" max="11" width="31.77734375" customWidth="1"/>
    <col min="12" max="12" width="13.88671875" customWidth="1"/>
    <col min="14" max="14" width="13.109375" customWidth="1"/>
  </cols>
  <sheetData>
    <row r="1" spans="1:11" ht="15" thickBot="1" x14ac:dyDescent="0.35"/>
    <row r="2" spans="1:11" x14ac:dyDescent="0.3">
      <c r="B2" s="85" t="s">
        <v>123</v>
      </c>
      <c r="C2" s="86"/>
      <c r="D2" s="86"/>
      <c r="E2" s="86"/>
      <c r="F2" s="86"/>
      <c r="G2" s="87"/>
    </row>
    <row r="3" spans="1:11" x14ac:dyDescent="0.3">
      <c r="B3" s="19" t="s">
        <v>104</v>
      </c>
      <c r="C3" s="8"/>
      <c r="D3" s="8"/>
      <c r="E3" s="8"/>
      <c r="F3" s="8"/>
      <c r="G3" s="20"/>
    </row>
    <row r="4" spans="1:11" x14ac:dyDescent="0.3">
      <c r="B4" s="88" t="s">
        <v>106</v>
      </c>
      <c r="C4" s="8">
        <f>0.85/100</f>
        <v>8.5000000000000006E-3</v>
      </c>
      <c r="D4" s="8" t="s">
        <v>86</v>
      </c>
      <c r="E4" s="93" t="s">
        <v>112</v>
      </c>
      <c r="F4" s="23" t="s">
        <v>132</v>
      </c>
      <c r="G4" s="24"/>
    </row>
    <row r="5" spans="1:11" x14ac:dyDescent="0.3">
      <c r="B5" s="88"/>
      <c r="C5" s="8"/>
      <c r="D5" s="8"/>
      <c r="E5" s="93"/>
      <c r="F5" s="9" t="s">
        <v>133</v>
      </c>
      <c r="G5" s="20"/>
    </row>
    <row r="6" spans="1:11" x14ac:dyDescent="0.3">
      <c r="B6" s="88"/>
      <c r="C6" s="8">
        <f>2.8/100</f>
        <v>2.7999999999999997E-2</v>
      </c>
      <c r="D6" s="8" t="s">
        <v>66</v>
      </c>
      <c r="E6" s="93"/>
      <c r="F6" s="9">
        <f>'Transport c&amp;e fuel vehicles'!C8</f>
        <v>247.40720948314191</v>
      </c>
      <c r="G6" s="20" t="s">
        <v>108</v>
      </c>
    </row>
    <row r="7" spans="1:11" x14ac:dyDescent="0.3">
      <c r="B7" s="19" t="s">
        <v>110</v>
      </c>
      <c r="C7" s="8">
        <v>70</v>
      </c>
      <c r="D7" s="8" t="s">
        <v>111</v>
      </c>
      <c r="E7" s="93"/>
      <c r="F7" s="47" t="s">
        <v>134</v>
      </c>
      <c r="G7" s="90"/>
    </row>
    <row r="8" spans="1:11" ht="15" thickBot="1" x14ac:dyDescent="0.35">
      <c r="A8" s="83" t="s">
        <v>109</v>
      </c>
      <c r="B8" s="21" t="s">
        <v>131</v>
      </c>
      <c r="C8" s="25">
        <f>'Passenger transport data'!D17*10^3</f>
        <v>218</v>
      </c>
      <c r="D8" s="22" t="s">
        <v>108</v>
      </c>
      <c r="E8" s="22"/>
      <c r="F8" s="91"/>
      <c r="G8" s="92"/>
    </row>
    <row r="9" spans="1:11" x14ac:dyDescent="0.3">
      <c r="A9" s="56"/>
      <c r="B9" s="11" t="s">
        <v>113</v>
      </c>
      <c r="C9" s="84" t="s">
        <v>130</v>
      </c>
      <c r="D9" s="84"/>
      <c r="E9" s="84"/>
      <c r="F9" s="84" t="s">
        <v>129</v>
      </c>
      <c r="G9" s="84"/>
      <c r="H9" s="1" t="s">
        <v>128</v>
      </c>
      <c r="I9" s="1" t="s">
        <v>118</v>
      </c>
      <c r="J9" s="1" t="s">
        <v>119</v>
      </c>
      <c r="K9" s="1" t="s">
        <v>117</v>
      </c>
    </row>
    <row r="10" spans="1:11" x14ac:dyDescent="0.3">
      <c r="A10" s="81" t="s">
        <v>88</v>
      </c>
      <c r="B10" s="81"/>
      <c r="C10" s="81"/>
      <c r="D10" s="81"/>
      <c r="E10" s="81"/>
      <c r="F10" s="81"/>
      <c r="G10" s="81"/>
      <c r="H10" s="81"/>
      <c r="I10" s="81"/>
      <c r="J10" s="81"/>
      <c r="K10" s="81"/>
    </row>
    <row r="11" spans="1:11" x14ac:dyDescent="0.3">
      <c r="A11" s="1">
        <v>1</v>
      </c>
      <c r="B11" s="1">
        <v>0</v>
      </c>
      <c r="C11" s="82">
        <f>C$4*B11/100</f>
        <v>0</v>
      </c>
      <c r="D11" s="82"/>
      <c r="E11" s="82"/>
      <c r="F11" s="98">
        <f>'Passenger transport data'!D12</f>
        <v>0.35816213655272955</v>
      </c>
      <c r="G11" s="98"/>
      <c r="H11" s="27">
        <f>F11/A11</f>
        <v>0.35816213655272955</v>
      </c>
      <c r="I11" s="1">
        <v>0</v>
      </c>
      <c r="J11" s="1">
        <f>C$8*F11</f>
        <v>78.079345768495045</v>
      </c>
      <c r="K11" s="27">
        <f>J11/A11</f>
        <v>78.079345768495045</v>
      </c>
    </row>
    <row r="12" spans="1:11" x14ac:dyDescent="0.3">
      <c r="A12" s="1">
        <v>2</v>
      </c>
      <c r="B12" s="1">
        <f>B11+C$7</f>
        <v>70</v>
      </c>
      <c r="C12" s="82">
        <f t="shared" ref="C12:C15" si="0">C$4*B12/100</f>
        <v>5.9500000000000004E-3</v>
      </c>
      <c r="D12" s="82"/>
      <c r="E12" s="82"/>
      <c r="F12" s="82">
        <f>F$11+C12</f>
        <v>0.36411213655272956</v>
      </c>
      <c r="G12" s="82"/>
      <c r="H12" s="27">
        <f t="shared" ref="H12:H15" si="1">F12/A12</f>
        <v>0.18205606827636478</v>
      </c>
      <c r="I12" s="1">
        <f>C$6*B12</f>
        <v>1.9599999999999997</v>
      </c>
      <c r="J12" s="1">
        <f>F12*(I12+J$11)</f>
        <v>29.143297196049403</v>
      </c>
      <c r="K12" s="27">
        <f t="shared" ref="K12:K15" si="2">J12/A12</f>
        <v>14.571648598024701</v>
      </c>
    </row>
    <row r="13" spans="1:11" x14ac:dyDescent="0.3">
      <c r="A13" s="1">
        <v>3</v>
      </c>
      <c r="B13" s="1">
        <f t="shared" ref="B13:B15" si="3">B12+C$7</f>
        <v>140</v>
      </c>
      <c r="C13" s="82">
        <f t="shared" si="0"/>
        <v>1.1900000000000001E-2</v>
      </c>
      <c r="D13" s="82"/>
      <c r="E13" s="82"/>
      <c r="F13" s="82">
        <f t="shared" ref="F13:F15" si="4">F$11+C13</f>
        <v>0.37006213655272957</v>
      </c>
      <c r="G13" s="82"/>
      <c r="H13" s="27">
        <f t="shared" si="1"/>
        <v>0.12335404551757652</v>
      </c>
      <c r="I13" s="1">
        <f t="shared" ref="I13:I15" si="5">C$6*B13</f>
        <v>3.9199999999999995</v>
      </c>
      <c r="J13" s="1">
        <f t="shared" ref="J13:J15" si="6">F13*(I13+J$11)</f>
        <v>30.344853091015302</v>
      </c>
      <c r="K13" s="27">
        <f t="shared" si="2"/>
        <v>10.114951030338434</v>
      </c>
    </row>
    <row r="14" spans="1:11" x14ac:dyDescent="0.3">
      <c r="A14" s="1">
        <v>4</v>
      </c>
      <c r="B14" s="1">
        <f t="shared" si="3"/>
        <v>210</v>
      </c>
      <c r="C14" s="82">
        <f t="shared" si="0"/>
        <v>1.7850000000000001E-2</v>
      </c>
      <c r="D14" s="82"/>
      <c r="E14" s="82"/>
      <c r="F14" s="82">
        <f t="shared" si="4"/>
        <v>0.37601213655272953</v>
      </c>
      <c r="G14" s="82"/>
      <c r="H14" s="27">
        <f t="shared" si="1"/>
        <v>9.4003034138182381E-2</v>
      </c>
      <c r="I14" s="1">
        <f t="shared" si="5"/>
        <v>5.879999999999999</v>
      </c>
      <c r="J14" s="1">
        <f t="shared" si="6"/>
        <v>31.56973298598119</v>
      </c>
      <c r="K14" s="27">
        <f t="shared" si="2"/>
        <v>7.8924332464952975</v>
      </c>
    </row>
    <row r="15" spans="1:11" x14ac:dyDescent="0.3">
      <c r="A15" s="1">
        <v>5</v>
      </c>
      <c r="B15" s="1">
        <f t="shared" si="3"/>
        <v>280</v>
      </c>
      <c r="C15" s="82">
        <f t="shared" si="0"/>
        <v>2.3800000000000002E-2</v>
      </c>
      <c r="D15" s="82"/>
      <c r="E15" s="82"/>
      <c r="F15" s="82">
        <f t="shared" si="4"/>
        <v>0.38196213655272954</v>
      </c>
      <c r="G15" s="82"/>
      <c r="H15" s="27">
        <f t="shared" si="1"/>
        <v>7.6392427310545907E-2</v>
      </c>
      <c r="I15" s="1">
        <f t="shared" si="5"/>
        <v>7.839999999999999</v>
      </c>
      <c r="J15" s="1">
        <f t="shared" si="6"/>
        <v>32.817936880947087</v>
      </c>
      <c r="K15" s="27">
        <f t="shared" si="2"/>
        <v>6.5635873761894175</v>
      </c>
    </row>
    <row r="16" spans="1:11" x14ac:dyDescent="0.3">
      <c r="A16" s="99" t="s">
        <v>89</v>
      </c>
      <c r="B16" s="100"/>
      <c r="C16" s="100"/>
      <c r="D16" s="100"/>
      <c r="E16" s="100"/>
      <c r="F16" s="100"/>
      <c r="G16" s="100"/>
      <c r="H16" s="100"/>
      <c r="I16" s="100"/>
      <c r="J16" s="100"/>
      <c r="K16" s="101"/>
    </row>
    <row r="17" spans="1:11" x14ac:dyDescent="0.3">
      <c r="A17" s="1">
        <v>1</v>
      </c>
      <c r="B17" s="1">
        <v>0</v>
      </c>
      <c r="C17" s="76">
        <f>B17*(0.5*C$4+0.5*'Transport c&amp;e fuel vehicles'!C$5)/100</f>
        <v>0</v>
      </c>
      <c r="D17" s="77"/>
      <c r="E17" s="78"/>
      <c r="F17" s="94">
        <f>'Passenger transport data'!D11</f>
        <v>0.33705812581182015</v>
      </c>
      <c r="G17" s="95"/>
      <c r="H17" s="27">
        <f>F17/A17</f>
        <v>0.33705812581182015</v>
      </c>
      <c r="I17" s="1">
        <v>0</v>
      </c>
      <c r="J17" s="1">
        <f>F17*(0.5*C$8+0.5*F$6)</f>
        <v>78.434640883848488</v>
      </c>
      <c r="K17" s="27">
        <f>J17/A17</f>
        <v>78.434640883848488</v>
      </c>
    </row>
    <row r="18" spans="1:11" x14ac:dyDescent="0.3">
      <c r="A18" s="1">
        <v>2</v>
      </c>
      <c r="B18" s="1">
        <f>C$7+B17</f>
        <v>70</v>
      </c>
      <c r="C18" s="76">
        <f>B18*(0.5*C$4+0.5*'Transport c&amp;e fuel vehicles'!C$5)/100</f>
        <v>1.6975000000000001E-2</v>
      </c>
      <c r="D18" s="77"/>
      <c r="E18" s="78"/>
      <c r="F18" s="76">
        <f>F$17+C18</f>
        <v>0.35403312581182017</v>
      </c>
      <c r="G18" s="78"/>
      <c r="H18" s="27">
        <f t="shared" ref="H18:H21" si="7">F18/A18</f>
        <v>0.17701656290591009</v>
      </c>
      <c r="I18" s="1">
        <f>B18*(0.5*C$6+0.5*'Transport c&amp;e fuel vehicles'!C$6)/100</f>
        <v>4.4800000000000006E-2</v>
      </c>
      <c r="J18" s="1">
        <f>F18*(I18+J$17)</f>
        <v>27.784321768072832</v>
      </c>
      <c r="K18" s="27">
        <f t="shared" ref="K18:K21" si="8">J18/A18</f>
        <v>13.892160884036416</v>
      </c>
    </row>
    <row r="19" spans="1:11" x14ac:dyDescent="0.3">
      <c r="A19" s="1">
        <v>3</v>
      </c>
      <c r="B19" s="1">
        <f t="shared" ref="B19:B21" si="9">C$7+B18</f>
        <v>140</v>
      </c>
      <c r="C19" s="76">
        <f>B19*(0.5*C$4+0.5*'Transport c&amp;e fuel vehicles'!C$5)/100</f>
        <v>3.3950000000000001E-2</v>
      </c>
      <c r="D19" s="77"/>
      <c r="E19" s="78"/>
      <c r="F19" s="76">
        <f t="shared" ref="F19:F21" si="10">F$17+C19</f>
        <v>0.37100812581182013</v>
      </c>
      <c r="G19" s="78"/>
      <c r="H19" s="27">
        <f t="shared" si="7"/>
        <v>0.12366937527060672</v>
      </c>
      <c r="I19" s="1">
        <f>B19*(0.5*C$6+0.5*'Transport c&amp;e fuel vehicles'!C$6)/100</f>
        <v>8.9600000000000013E-2</v>
      </c>
      <c r="J19" s="1">
        <f t="shared" ref="J19:J21" si="11">F19*(I19+J$17)</f>
        <v>29.133131441112532</v>
      </c>
      <c r="K19" s="27">
        <f t="shared" si="8"/>
        <v>9.7110438137041779</v>
      </c>
    </row>
    <row r="20" spans="1:11" x14ac:dyDescent="0.3">
      <c r="A20" s="1">
        <v>4</v>
      </c>
      <c r="B20" s="1">
        <f t="shared" si="9"/>
        <v>210</v>
      </c>
      <c r="C20" s="76">
        <f>B20*(0.5*C$4+0.5*'Transport c&amp;e fuel vehicles'!C$5)/100</f>
        <v>5.0925000000000005E-2</v>
      </c>
      <c r="D20" s="77"/>
      <c r="E20" s="78"/>
      <c r="F20" s="76">
        <f t="shared" si="10"/>
        <v>0.38798312581182015</v>
      </c>
      <c r="G20" s="78"/>
      <c r="H20" s="27">
        <f t="shared" si="7"/>
        <v>9.6995781452955038E-2</v>
      </c>
      <c r="I20" s="1">
        <f>B20*(0.5*C$6+0.5*'Transport c&amp;e fuel vehicles'!C$6)/100</f>
        <v>0.13439999999999999</v>
      </c>
      <c r="J20" s="1">
        <f t="shared" si="11"/>
        <v>30.483462074152229</v>
      </c>
      <c r="K20" s="27">
        <f t="shared" si="8"/>
        <v>7.6208655185380572</v>
      </c>
    </row>
    <row r="21" spans="1:11" x14ac:dyDescent="0.3">
      <c r="A21" s="1">
        <v>5</v>
      </c>
      <c r="B21" s="1">
        <f t="shared" si="9"/>
        <v>280</v>
      </c>
      <c r="C21" s="76">
        <f>B21*(0.5*C$4+0.5*'Transport c&amp;e fuel vehicles'!C$5)/100</f>
        <v>6.7900000000000002E-2</v>
      </c>
      <c r="D21" s="77"/>
      <c r="E21" s="78"/>
      <c r="F21" s="76">
        <f t="shared" si="10"/>
        <v>0.40495812581182017</v>
      </c>
      <c r="G21" s="78"/>
      <c r="H21" s="27">
        <f t="shared" si="7"/>
        <v>8.0991625162364037E-2</v>
      </c>
      <c r="I21" s="1">
        <f>B21*(0.5*C$6+0.5*'Transport c&amp;e fuel vehicles'!C$6)/100</f>
        <v>0.17920000000000003</v>
      </c>
      <c r="J21" s="1">
        <f t="shared" si="11"/>
        <v>31.835313667191926</v>
      </c>
      <c r="K21" s="27">
        <f t="shared" si="8"/>
        <v>6.3670627334383854</v>
      </c>
    </row>
    <row r="22" spans="1:11" x14ac:dyDescent="0.3">
      <c r="A22" s="81" t="s">
        <v>124</v>
      </c>
      <c r="B22" s="81"/>
      <c r="C22" s="81"/>
      <c r="D22" s="81"/>
      <c r="E22" s="81"/>
      <c r="F22" s="81"/>
      <c r="G22" s="81"/>
      <c r="H22" s="81"/>
      <c r="I22" s="81"/>
      <c r="J22" s="81"/>
      <c r="K22" s="81"/>
    </row>
    <row r="23" spans="1:11" x14ac:dyDescent="0.3">
      <c r="A23" s="1">
        <v>1</v>
      </c>
      <c r="B23" s="1">
        <v>0</v>
      </c>
      <c r="C23" s="82">
        <f>C$5*B23/100</f>
        <v>0</v>
      </c>
      <c r="D23" s="82"/>
      <c r="E23" s="82"/>
      <c r="F23" s="98">
        <f>'electric veh relation'!F8</f>
        <v>0.14493072502366267</v>
      </c>
      <c r="G23" s="98"/>
      <c r="H23" s="27">
        <f>F23/A23</f>
        <v>0.14493072502366267</v>
      </c>
      <c r="I23" s="1">
        <v>0</v>
      </c>
      <c r="J23" s="1">
        <f>C$8*F23</f>
        <v>31.59489805515846</v>
      </c>
      <c r="K23" s="27">
        <f>J23/A23</f>
        <v>31.59489805515846</v>
      </c>
    </row>
    <row r="24" spans="1:11" x14ac:dyDescent="0.3">
      <c r="A24" s="1">
        <v>2</v>
      </c>
      <c r="B24" s="1">
        <f>C7+B23</f>
        <v>70</v>
      </c>
      <c r="C24" s="82">
        <f>C$5*B24/100</f>
        <v>0</v>
      </c>
      <c r="D24" s="82"/>
      <c r="E24" s="82"/>
      <c r="F24" s="82">
        <f>F23+C24</f>
        <v>0.14493072502366267</v>
      </c>
      <c r="G24" s="82"/>
      <c r="H24" s="27">
        <f>F24/A24</f>
        <v>7.2465362511831333E-2</v>
      </c>
      <c r="I24" s="1">
        <f>C6*B24</f>
        <v>1.9599999999999997</v>
      </c>
      <c r="J24" s="1">
        <f>F24*(I24+J23)</f>
        <v>4.8631357032292044</v>
      </c>
      <c r="K24" s="27">
        <f>J24/A24</f>
        <v>2.4315678516146022</v>
      </c>
    </row>
    <row r="25" spans="1:11" x14ac:dyDescent="0.3">
      <c r="A25" s="99" t="s">
        <v>125</v>
      </c>
      <c r="B25" s="100"/>
      <c r="C25" s="100"/>
      <c r="D25" s="100"/>
      <c r="E25" s="100"/>
      <c r="F25" s="100"/>
      <c r="G25" s="100"/>
      <c r="H25" s="100"/>
      <c r="I25" s="100"/>
      <c r="J25" s="100"/>
      <c r="K25" s="101"/>
    </row>
    <row r="26" spans="1:11" x14ac:dyDescent="0.3">
      <c r="A26" s="1">
        <v>1</v>
      </c>
      <c r="B26" s="1">
        <v>0</v>
      </c>
      <c r="C26" s="76">
        <f>C$4*B26/100</f>
        <v>0</v>
      </c>
      <c r="D26" s="77"/>
      <c r="E26" s="78"/>
      <c r="F26" s="94">
        <f>'electric veh relation'!F9</f>
        <v>1.3014612520084651E-2</v>
      </c>
      <c r="G26" s="95"/>
      <c r="H26" s="27">
        <f>F26/A26</f>
        <v>1.3014612520084651E-2</v>
      </c>
      <c r="I26" s="1">
        <v>0</v>
      </c>
      <c r="J26" s="1">
        <f>C$8*F26</f>
        <v>2.8371855293784538</v>
      </c>
      <c r="K26" s="27">
        <f>J26/A26</f>
        <v>2.8371855293784538</v>
      </c>
    </row>
    <row r="27" spans="1:11" x14ac:dyDescent="0.3">
      <c r="A27" s="99" t="s">
        <v>126</v>
      </c>
      <c r="B27" s="100"/>
      <c r="C27" s="100"/>
      <c r="D27" s="100"/>
      <c r="E27" s="100"/>
      <c r="F27" s="100"/>
      <c r="G27" s="100"/>
      <c r="H27" s="100"/>
      <c r="I27" s="100"/>
      <c r="J27" s="100"/>
      <c r="K27" s="101"/>
    </row>
    <row r="28" spans="1:11" x14ac:dyDescent="0.3">
      <c r="A28" s="1">
        <v>1</v>
      </c>
      <c r="B28" s="1">
        <v>0</v>
      </c>
      <c r="C28" s="76">
        <f>C$4*B28/100</f>
        <v>0</v>
      </c>
      <c r="D28" s="77"/>
      <c r="E28" s="78"/>
      <c r="F28" s="94">
        <f>'electric veh relation'!F10</f>
        <v>2.8215679943543522E-2</v>
      </c>
      <c r="G28" s="95"/>
      <c r="H28" s="27">
        <f>F28/A28</f>
        <v>2.8215679943543522E-2</v>
      </c>
      <c r="I28" s="1">
        <v>0</v>
      </c>
      <c r="J28" s="1">
        <f>C$8*F28</f>
        <v>6.1510182276924876</v>
      </c>
      <c r="K28" s="27">
        <f>J28/A28</f>
        <v>6.1510182276924876</v>
      </c>
    </row>
    <row r="29" spans="1:11" x14ac:dyDescent="0.3">
      <c r="A29" s="99" t="s">
        <v>127</v>
      </c>
      <c r="B29" s="100"/>
      <c r="C29" s="100"/>
      <c r="D29" s="100"/>
      <c r="E29" s="100"/>
      <c r="F29" s="100"/>
      <c r="G29" s="100"/>
      <c r="H29" s="100"/>
      <c r="I29" s="100"/>
      <c r="J29" s="100"/>
      <c r="K29" s="101"/>
    </row>
    <row r="30" spans="1:11" x14ac:dyDescent="0.3">
      <c r="A30" s="1">
        <v>1</v>
      </c>
      <c r="B30" s="1">
        <v>0</v>
      </c>
      <c r="C30" s="76">
        <f>C$4*B30/100</f>
        <v>0</v>
      </c>
      <c r="D30" s="77"/>
      <c r="E30" s="78"/>
      <c r="F30" s="94">
        <f>'Passenger transport data'!D24</f>
        <v>5.0262244973135379</v>
      </c>
      <c r="G30" s="95"/>
      <c r="H30" s="2">
        <f>F30/A30</f>
        <v>5.0262244973135379</v>
      </c>
      <c r="I30" s="1">
        <v>0</v>
      </c>
      <c r="J30" s="1">
        <f>C$8*F30</f>
        <v>1095.7169404143513</v>
      </c>
      <c r="K30" s="27">
        <f>J30/A30</f>
        <v>1095.7169404143513</v>
      </c>
    </row>
    <row r="31" spans="1:11" x14ac:dyDescent="0.3">
      <c r="A31" s="18">
        <f>'Passenger transport data'!H6</f>
        <v>24.16903493093551</v>
      </c>
      <c r="B31" s="1">
        <f>C$7*A31</f>
        <v>1691.8324451654858</v>
      </c>
      <c r="C31" s="76">
        <f t="shared" ref="C31:C33" si="12">C$4*B31/100</f>
        <v>0.14380575783906629</v>
      </c>
      <c r="D31" s="77"/>
      <c r="E31" s="78"/>
      <c r="F31" s="76">
        <f>F$30+C31</f>
        <v>5.1700302551526045</v>
      </c>
      <c r="G31" s="78"/>
      <c r="H31" s="27">
        <f t="shared" ref="H31:H33" si="13">F31/A31</f>
        <v>0.2139113237217076</v>
      </c>
      <c r="I31" s="1">
        <f>C$6*B31</f>
        <v>47.371308464633593</v>
      </c>
      <c r="J31" s="1">
        <f>F31*(I31+J$30)</f>
        <v>5909.800831013762</v>
      </c>
      <c r="K31" s="27">
        <f t="shared" ref="K31:K33" si="14">J31/A31</f>
        <v>244.51952044843239</v>
      </c>
    </row>
    <row r="32" spans="1:11" x14ac:dyDescent="0.3">
      <c r="A32" s="18">
        <f>'Passenger transport data'!I6</f>
        <v>76.003254499797194</v>
      </c>
      <c r="B32" s="1">
        <f>C$7*A32</f>
        <v>5320.2278149858039</v>
      </c>
      <c r="C32" s="76">
        <f t="shared" si="12"/>
        <v>0.45221936427379333</v>
      </c>
      <c r="D32" s="77"/>
      <c r="E32" s="78"/>
      <c r="F32" s="76">
        <f t="shared" ref="F32:F33" si="15">F$30+C32</f>
        <v>5.4784438615873317</v>
      </c>
      <c r="G32" s="78"/>
      <c r="H32" s="27">
        <f t="shared" si="13"/>
        <v>7.2081700943503024E-2</v>
      </c>
      <c r="I32" s="1">
        <f t="shared" ref="I32:I33" si="16">C$6*B32</f>
        <v>148.96637881960248</v>
      </c>
      <c r="J32" s="1">
        <f t="shared" ref="J32:J33" si="17">F32*(I32+J$30)</f>
        <v>6818.9276898773987</v>
      </c>
      <c r="K32" s="27">
        <f t="shared" si="14"/>
        <v>89.718890786388556</v>
      </c>
    </row>
    <row r="33" spans="1:11" x14ac:dyDescent="0.3">
      <c r="A33" s="18">
        <f>'Passenger transport data'!J6</f>
        <v>127.83747406865886</v>
      </c>
      <c r="B33" s="1">
        <f>C$7*A33</f>
        <v>8948.6231848061198</v>
      </c>
      <c r="C33" s="76">
        <f t="shared" si="12"/>
        <v>0.76063297070852032</v>
      </c>
      <c r="D33" s="77"/>
      <c r="E33" s="78"/>
      <c r="F33" s="76">
        <f t="shared" si="15"/>
        <v>5.7868574680220579</v>
      </c>
      <c r="G33" s="78"/>
      <c r="H33" s="27">
        <f t="shared" si="13"/>
        <v>4.5267301393283603E-2</v>
      </c>
      <c r="I33" s="1">
        <f t="shared" si="16"/>
        <v>250.56144917457132</v>
      </c>
      <c r="J33" s="1">
        <f t="shared" si="17"/>
        <v>7790.7211528293665</v>
      </c>
      <c r="K33" s="27">
        <f t="shared" si="14"/>
        <v>60.942389620786244</v>
      </c>
    </row>
    <row r="34" spans="1:11" x14ac:dyDescent="0.3">
      <c r="A34" s="99" t="s">
        <v>102</v>
      </c>
      <c r="B34" s="100"/>
      <c r="C34" s="100"/>
      <c r="D34" s="100"/>
      <c r="E34" s="100"/>
      <c r="F34" s="100"/>
      <c r="G34" s="100"/>
      <c r="H34" s="100"/>
      <c r="I34" s="100"/>
      <c r="J34" s="100"/>
      <c r="K34" s="101"/>
    </row>
    <row r="35" spans="1:11" x14ac:dyDescent="0.3">
      <c r="A35" s="1">
        <v>1</v>
      </c>
      <c r="B35" s="1">
        <v>0</v>
      </c>
      <c r="C35" s="76">
        <f>C$4*B35/100</f>
        <v>0</v>
      </c>
      <c r="D35" s="77"/>
      <c r="E35" s="78"/>
      <c r="F35" s="94">
        <f>'Passenger transport data'!D26</f>
        <v>16.743080733918713</v>
      </c>
      <c r="G35" s="95"/>
      <c r="H35" s="2">
        <f>F35/A35</f>
        <v>16.743080733918713</v>
      </c>
      <c r="I35" s="1">
        <v>0</v>
      </c>
      <c r="J35" s="34">
        <f>C$8*F35</f>
        <v>3649.9915999942796</v>
      </c>
      <c r="K35" s="27">
        <f>J35/A35</f>
        <v>3649.9915999942796</v>
      </c>
    </row>
    <row r="36" spans="1:11" x14ac:dyDescent="0.3">
      <c r="A36" s="18">
        <f>'Passenger transport data'!H7</f>
        <v>37.764117079586732</v>
      </c>
      <c r="B36" s="1">
        <f>C$7*A36</f>
        <v>2643.4881955710712</v>
      </c>
      <c r="C36" s="76">
        <f t="shared" ref="C36:C38" si="18">C$4*B36/100</f>
        <v>0.22469649662354108</v>
      </c>
      <c r="D36" s="77"/>
      <c r="E36" s="78"/>
      <c r="F36" s="76">
        <f>F$35+C36</f>
        <v>16.967777230542254</v>
      </c>
      <c r="G36" s="78"/>
      <c r="H36" s="27">
        <f t="shared" ref="H36:H38" si="19">F36/A36</f>
        <v>0.44930951767740729</v>
      </c>
      <c r="I36" s="1">
        <f>C$6*B36</f>
        <v>74.01766947598999</v>
      </c>
      <c r="J36" s="34">
        <f>F36*(I36+J$35)</f>
        <v>63188.159688845932</v>
      </c>
      <c r="K36" s="27">
        <f t="shared" ref="K36:K38" si="20">J36/A36</f>
        <v>1673.2328086918808</v>
      </c>
    </row>
    <row r="37" spans="1:11" x14ac:dyDescent="0.3">
      <c r="A37" s="18">
        <f>'Passenger transport data'!I7</f>
        <v>118.75508515593312</v>
      </c>
      <c r="B37" s="1">
        <f t="shared" ref="B37:B38" si="21">C$7*A37</f>
        <v>8312.8559609153181</v>
      </c>
      <c r="C37" s="76">
        <f t="shared" si="18"/>
        <v>0.70659275667780208</v>
      </c>
      <c r="D37" s="77"/>
      <c r="E37" s="78"/>
      <c r="F37" s="76">
        <f t="shared" ref="F37:F38" si="22">F$35+C37</f>
        <v>17.449673490596517</v>
      </c>
      <c r="G37" s="78"/>
      <c r="H37" s="27">
        <f t="shared" si="19"/>
        <v>0.14693832662141554</v>
      </c>
      <c r="I37" s="1">
        <f t="shared" ref="I37:I38" si="23">C$6*B37</f>
        <v>232.75996690562889</v>
      </c>
      <c r="J37" s="34">
        <f t="shared" ref="J37:J38" si="24">F37*(I37+J$35)</f>
        <v>67752.747087505428</v>
      </c>
      <c r="K37" s="27">
        <f t="shared" si="20"/>
        <v>570.52501792695182</v>
      </c>
    </row>
    <row r="38" spans="1:11" x14ac:dyDescent="0.3">
      <c r="A38" s="18">
        <f>'Passenger transport data'!J7</f>
        <v>199.74605323227948</v>
      </c>
      <c r="B38" s="1">
        <f t="shared" si="21"/>
        <v>13982.223726259563</v>
      </c>
      <c r="C38" s="76">
        <f t="shared" si="18"/>
        <v>1.1884890167320628</v>
      </c>
      <c r="D38" s="77"/>
      <c r="E38" s="78"/>
      <c r="F38" s="76">
        <f t="shared" si="22"/>
        <v>17.931569750650777</v>
      </c>
      <c r="G38" s="78"/>
      <c r="H38" s="27">
        <f t="shared" si="19"/>
        <v>8.9771835090021138E-2</v>
      </c>
      <c r="I38" s="1">
        <f t="shared" si="23"/>
        <v>391.50226433526774</v>
      </c>
      <c r="J38" s="34">
        <f t="shared" si="24"/>
        <v>72470.32912505242</v>
      </c>
      <c r="K38" s="27">
        <f t="shared" si="20"/>
        <v>362.81232070592438</v>
      </c>
    </row>
    <row r="39" spans="1:11" x14ac:dyDescent="0.3">
      <c r="A39" s="81" t="s">
        <v>103</v>
      </c>
      <c r="B39" s="81"/>
      <c r="C39" s="81"/>
      <c r="D39" s="81"/>
      <c r="E39" s="81"/>
      <c r="F39" s="81"/>
      <c r="G39" s="81"/>
      <c r="H39" s="81"/>
      <c r="I39" s="81"/>
      <c r="J39" s="81"/>
      <c r="K39" s="81"/>
    </row>
    <row r="40" spans="1:11" x14ac:dyDescent="0.3">
      <c r="A40" s="1">
        <v>1</v>
      </c>
      <c r="B40" s="1">
        <v>0</v>
      </c>
      <c r="C40" s="76">
        <f>B40*C$4/100</f>
        <v>0</v>
      </c>
      <c r="D40" s="77"/>
      <c r="E40" s="78"/>
      <c r="F40" s="94">
        <f>'Passenger transport data'!D27</f>
        <v>0</v>
      </c>
      <c r="G40" s="95"/>
      <c r="H40" s="1">
        <f>F40/A40</f>
        <v>0</v>
      </c>
      <c r="I40" s="1">
        <v>0</v>
      </c>
      <c r="J40" s="1">
        <f>C$8*F40</f>
        <v>0</v>
      </c>
      <c r="K40" s="1">
        <f>J40/A40</f>
        <v>0</v>
      </c>
    </row>
    <row r="41" spans="1:11" x14ac:dyDescent="0.3">
      <c r="A41" s="18">
        <f>'Passenger transport data'!H8</f>
        <v>0</v>
      </c>
      <c r="B41" s="1">
        <f>C$7*A41</f>
        <v>0</v>
      </c>
      <c r="C41" s="76">
        <f t="shared" ref="C41:C43" si="25">B41*C$4/100</f>
        <v>0</v>
      </c>
      <c r="D41" s="77"/>
      <c r="E41" s="78"/>
      <c r="F41" s="76">
        <f>F$40+C41</f>
        <v>0</v>
      </c>
      <c r="G41" s="78"/>
      <c r="H41" s="27" t="e">
        <f t="shared" ref="H41:H43" si="26">F41/A41</f>
        <v>#DIV/0!</v>
      </c>
      <c r="I41" s="1">
        <f>C$6*B41</f>
        <v>0</v>
      </c>
      <c r="J41" s="1">
        <f>F41*(I41+J$40)</f>
        <v>0</v>
      </c>
      <c r="K41" s="27" t="e">
        <f t="shared" ref="K41:K43" si="27">J41/A41</f>
        <v>#DIV/0!</v>
      </c>
    </row>
    <row r="42" spans="1:11" x14ac:dyDescent="0.3">
      <c r="A42" s="18">
        <f>'Passenger transport data'!I8</f>
        <v>0</v>
      </c>
      <c r="B42" s="1">
        <f t="shared" ref="B42:B43" si="28">C$7*A42</f>
        <v>0</v>
      </c>
      <c r="C42" s="76">
        <f t="shared" si="25"/>
        <v>0</v>
      </c>
      <c r="D42" s="77"/>
      <c r="E42" s="78"/>
      <c r="F42" s="76">
        <f>F$40+C42</f>
        <v>0</v>
      </c>
      <c r="G42" s="78"/>
      <c r="H42" s="27" t="e">
        <f t="shared" si="26"/>
        <v>#DIV/0!</v>
      </c>
      <c r="I42" s="1">
        <f t="shared" ref="I42:I43" si="29">C$6*B42</f>
        <v>0</v>
      </c>
      <c r="J42" s="1">
        <f t="shared" ref="J42:J43" si="30">F42*(I42+J$40)</f>
        <v>0</v>
      </c>
      <c r="K42" s="27" t="e">
        <f t="shared" si="27"/>
        <v>#DIV/0!</v>
      </c>
    </row>
    <row r="43" spans="1:11" x14ac:dyDescent="0.3">
      <c r="A43" s="18">
        <f>'Passenger transport data'!J8</f>
        <v>0</v>
      </c>
      <c r="B43" s="1">
        <f t="shared" si="28"/>
        <v>0</v>
      </c>
      <c r="C43" s="76">
        <f t="shared" si="25"/>
        <v>0</v>
      </c>
      <c r="D43" s="77"/>
      <c r="E43" s="78"/>
      <c r="F43" s="76">
        <f t="shared" ref="F43" si="31">F$40+C43</f>
        <v>0</v>
      </c>
      <c r="G43" s="78"/>
      <c r="H43" s="27" t="e">
        <f t="shared" si="26"/>
        <v>#DIV/0!</v>
      </c>
      <c r="I43" s="1">
        <f t="shared" si="29"/>
        <v>0</v>
      </c>
      <c r="J43" s="1">
        <f t="shared" si="30"/>
        <v>0</v>
      </c>
      <c r="K43" s="27" t="e">
        <f t="shared" si="27"/>
        <v>#DIV/0!</v>
      </c>
    </row>
  </sheetData>
  <mergeCells count="67">
    <mergeCell ref="A25:K25"/>
    <mergeCell ref="A27:K27"/>
    <mergeCell ref="A29:K29"/>
    <mergeCell ref="A34:K34"/>
    <mergeCell ref="C26:E26"/>
    <mergeCell ref="C28:E28"/>
    <mergeCell ref="C33:E33"/>
    <mergeCell ref="F26:G26"/>
    <mergeCell ref="F28:G28"/>
    <mergeCell ref="F30:G30"/>
    <mergeCell ref="C19:E19"/>
    <mergeCell ref="C20:E20"/>
    <mergeCell ref="C21:E21"/>
    <mergeCell ref="C24:E24"/>
    <mergeCell ref="C23:E23"/>
    <mergeCell ref="C38:E38"/>
    <mergeCell ref="C42:E42"/>
    <mergeCell ref="F42:G42"/>
    <mergeCell ref="F35:G35"/>
    <mergeCell ref="F36:G36"/>
    <mergeCell ref="F37:G37"/>
    <mergeCell ref="F38:G38"/>
    <mergeCell ref="C37:E37"/>
    <mergeCell ref="C36:E36"/>
    <mergeCell ref="C35:E35"/>
    <mergeCell ref="C43:E43"/>
    <mergeCell ref="F43:G43"/>
    <mergeCell ref="C41:E41"/>
    <mergeCell ref="F41:G41"/>
    <mergeCell ref="F20:G20"/>
    <mergeCell ref="F21:G21"/>
    <mergeCell ref="F24:G24"/>
    <mergeCell ref="A39:K39"/>
    <mergeCell ref="C40:E40"/>
    <mergeCell ref="F40:G40"/>
    <mergeCell ref="C30:E30"/>
    <mergeCell ref="C31:E31"/>
    <mergeCell ref="C32:E32"/>
    <mergeCell ref="F31:G31"/>
    <mergeCell ref="F32:G32"/>
    <mergeCell ref="F33:G33"/>
    <mergeCell ref="B2:G2"/>
    <mergeCell ref="B4:B6"/>
    <mergeCell ref="E4:E7"/>
    <mergeCell ref="A10:K10"/>
    <mergeCell ref="C11:E11"/>
    <mergeCell ref="F11:G11"/>
    <mergeCell ref="A8:A9"/>
    <mergeCell ref="C9:E9"/>
    <mergeCell ref="F9:G9"/>
    <mergeCell ref="F7:G8"/>
    <mergeCell ref="C12:E12"/>
    <mergeCell ref="F12:G12"/>
    <mergeCell ref="F23:G23"/>
    <mergeCell ref="A16:K16"/>
    <mergeCell ref="C17:E17"/>
    <mergeCell ref="C18:E18"/>
    <mergeCell ref="C13:E13"/>
    <mergeCell ref="F13:G13"/>
    <mergeCell ref="C14:E14"/>
    <mergeCell ref="F14:G14"/>
    <mergeCell ref="C15:E15"/>
    <mergeCell ref="F15:G15"/>
    <mergeCell ref="A22:K22"/>
    <mergeCell ref="F17:G17"/>
    <mergeCell ref="F18:G18"/>
    <mergeCell ref="F19:G19"/>
  </mergeCells>
  <pageMargins left="0.7" right="0.7" top="0.75" bottom="0.75" header="0.3" footer="0.3"/>
  <pageSetup paperSize="9" scale="58"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B05D87-7106-4996-87C3-9833DF9292CC}">
  <dimension ref="A1:F10"/>
  <sheetViews>
    <sheetView workbookViewId="0">
      <selection activeCell="I10" sqref="I10"/>
    </sheetView>
  </sheetViews>
  <sheetFormatPr baseColWidth="10" defaultRowHeight="14.4" x14ac:dyDescent="0.3"/>
  <cols>
    <col min="5" max="5" width="14.77734375" customWidth="1"/>
  </cols>
  <sheetData>
    <row r="1" spans="1:6" x14ac:dyDescent="0.3">
      <c r="A1" t="s">
        <v>90</v>
      </c>
    </row>
    <row r="2" spans="1:6" x14ac:dyDescent="0.3">
      <c r="A2" t="s">
        <v>91</v>
      </c>
    </row>
    <row r="4" spans="1:6" x14ac:dyDescent="0.3">
      <c r="C4" s="1" t="s">
        <v>92</v>
      </c>
      <c r="D4" s="1"/>
      <c r="E4" s="102" t="s">
        <v>93</v>
      </c>
      <c r="F4" s="1" t="s">
        <v>94</v>
      </c>
    </row>
    <row r="5" spans="1:6" x14ac:dyDescent="0.3">
      <c r="C5" s="1" t="s">
        <v>95</v>
      </c>
      <c r="D5" s="1"/>
      <c r="E5" s="103"/>
      <c r="F5" s="1" t="s">
        <v>96</v>
      </c>
    </row>
    <row r="6" spans="1:6" x14ac:dyDescent="0.3">
      <c r="C6" s="1" t="s">
        <v>86</v>
      </c>
      <c r="D6" s="1" t="s">
        <v>41</v>
      </c>
      <c r="E6" s="84"/>
      <c r="F6" s="1" t="s">
        <v>41</v>
      </c>
    </row>
    <row r="7" spans="1:6" x14ac:dyDescent="0.3">
      <c r="B7" s="1" t="s">
        <v>97</v>
      </c>
      <c r="C7" s="1">
        <v>17.2</v>
      </c>
      <c r="D7" s="1">
        <f>C7/100</f>
        <v>0.17199999999999999</v>
      </c>
      <c r="E7" s="1" t="s">
        <v>98</v>
      </c>
      <c r="F7" s="26">
        <f>'Passenger transport data'!D12</f>
        <v>0.35816213655272955</v>
      </c>
    </row>
    <row r="8" spans="1:6" x14ac:dyDescent="0.3">
      <c r="B8" s="1" t="s">
        <v>99</v>
      </c>
      <c r="C8" s="1">
        <v>6.96</v>
      </c>
      <c r="D8" s="1">
        <f t="shared" ref="D8:D10" si="0">C8/100</f>
        <v>6.9599999999999995E-2</v>
      </c>
      <c r="E8" s="1">
        <f>D8/D$7</f>
        <v>0.40465116279069768</v>
      </c>
      <c r="F8" s="1">
        <f>F$7*E8</f>
        <v>0.14493072502366267</v>
      </c>
    </row>
    <row r="9" spans="1:6" x14ac:dyDescent="0.3">
      <c r="B9" s="1" t="s">
        <v>100</v>
      </c>
      <c r="C9" s="1">
        <v>0.625</v>
      </c>
      <c r="D9" s="1">
        <f t="shared" si="0"/>
        <v>6.2500000000000003E-3</v>
      </c>
      <c r="E9" s="1">
        <f>D9/D$7</f>
        <v>3.6337209302325583E-2</v>
      </c>
      <c r="F9" s="1">
        <f t="shared" ref="F9:F10" si="1">F$7*E9</f>
        <v>1.3014612520084651E-2</v>
      </c>
    </row>
    <row r="10" spans="1:6" x14ac:dyDescent="0.3">
      <c r="B10" s="1" t="s">
        <v>101</v>
      </c>
      <c r="C10" s="1">
        <v>1.355</v>
      </c>
      <c r="D10" s="1">
        <f t="shared" si="0"/>
        <v>1.355E-2</v>
      </c>
      <c r="E10" s="1">
        <f>D10/D$7</f>
        <v>7.8779069767441867E-2</v>
      </c>
      <c r="F10" s="1">
        <f t="shared" si="1"/>
        <v>2.8215679943543522E-2</v>
      </c>
    </row>
  </sheetData>
  <mergeCells count="1">
    <mergeCell ref="E4:E6"/>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2471285A88D3D849B709579BC0AF15D5" ma:contentTypeVersion="11" ma:contentTypeDescription="Crear nuevo documento." ma:contentTypeScope="" ma:versionID="adfcd6e5d687e131c5bfd01a20d1baaf">
  <xsd:schema xmlns:xsd="http://www.w3.org/2001/XMLSchema" xmlns:xs="http://www.w3.org/2001/XMLSchema" xmlns:p="http://schemas.microsoft.com/office/2006/metadata/properties" xmlns:ns3="0f8980da-cfab-4d63-b13c-5c209120d7ab" xmlns:ns4="f91eaa2f-66a0-4696-9ae2-b18296757a1c" targetNamespace="http://schemas.microsoft.com/office/2006/metadata/properties" ma:root="true" ma:fieldsID="3ad05ed55cb730c38a0adf28c2fa95e9" ns3:_="" ns4:_="">
    <xsd:import namespace="0f8980da-cfab-4d63-b13c-5c209120d7ab"/>
    <xsd:import namespace="f91eaa2f-66a0-4696-9ae2-b18296757a1c"/>
    <xsd:element name="properties">
      <xsd:complexType>
        <xsd:sequence>
          <xsd:element name="documentManagement">
            <xsd:complexType>
              <xsd:all>
                <xsd:element ref="ns3:MediaServiceMetadata" minOccurs="0"/>
                <xsd:element ref="ns3:MediaServiceFastMetadata" minOccurs="0"/>
                <xsd:element ref="ns3:MediaServiceAutoKeyPoints" minOccurs="0"/>
                <xsd:element ref="ns3:MediaServiceKeyPoints" minOccurs="0"/>
                <xsd:element ref="ns4:SharedWithUsers" minOccurs="0"/>
                <xsd:element ref="ns4:SharedWithDetails" minOccurs="0"/>
                <xsd:element ref="ns4:SharingHintHash" minOccurs="0"/>
                <xsd:element ref="ns3:MediaServiceAutoTags" minOccurs="0"/>
                <xsd:element ref="ns3:MediaServiceOCR" minOccurs="0"/>
                <xsd:element ref="ns3:MediaServiceGenerationTime" minOccurs="0"/>
                <xsd:element ref="ns3: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f8980da-cfab-4d63-b13c-5c209120d7a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5" nillable="true" ma:displayName="Tags" ma:internalName="MediaServiceAutoTags"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91eaa2f-66a0-4696-9ae2-b18296757a1c" elementFormDefault="qualified">
    <xsd:import namespace="http://schemas.microsoft.com/office/2006/documentManagement/types"/>
    <xsd:import namespace="http://schemas.microsoft.com/office/infopath/2007/PartnerControls"/>
    <xsd:element name="SharedWithUsers" ma:index="12"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Detalles de uso compartido" ma:internalName="SharedWithDetails" ma:readOnly="true">
      <xsd:simpleType>
        <xsd:restriction base="dms:Note">
          <xsd:maxLength value="255"/>
        </xsd:restriction>
      </xsd:simpleType>
    </xsd:element>
    <xsd:element name="SharingHintHash" ma:index="14" nillable="true" ma:displayName="Hash de la sugerencia para compartir"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C2BD801-94F6-4C92-B031-1A9B069028CC}">
  <ds:schemaRefs>
    <ds:schemaRef ds:uri="http://schemas.microsoft.com/office/2006/documentManagement/types"/>
    <ds:schemaRef ds:uri="http://purl.org/dc/dcmitype/"/>
    <ds:schemaRef ds:uri="0f8980da-cfab-4d63-b13c-5c209120d7ab"/>
    <ds:schemaRef ds:uri="f91eaa2f-66a0-4696-9ae2-b18296757a1c"/>
    <ds:schemaRef ds:uri="http://purl.org/dc/elements/1.1/"/>
    <ds:schemaRef ds:uri="http://www.w3.org/XML/1998/namespace"/>
    <ds:schemaRef ds:uri="http://schemas.microsoft.com/office/2006/metadata/properties"/>
    <ds:schemaRef ds:uri="http://schemas.microsoft.com/office/infopath/2007/PartnerControls"/>
    <ds:schemaRef ds:uri="http://schemas.openxmlformats.org/package/2006/metadata/core-properties"/>
    <ds:schemaRef ds:uri="http://purl.org/dc/terms/"/>
  </ds:schemaRefs>
</ds:datastoreItem>
</file>

<file path=customXml/itemProps2.xml><?xml version="1.0" encoding="utf-8"?>
<ds:datastoreItem xmlns:ds="http://schemas.openxmlformats.org/officeDocument/2006/customXml" ds:itemID="{16526EA1-6DB0-48E3-A8EA-E2FB1D619FD6}">
  <ds:schemaRefs>
    <ds:schemaRef ds:uri="http://schemas.microsoft.com/sharepoint/v3/contenttype/forms"/>
  </ds:schemaRefs>
</ds:datastoreItem>
</file>

<file path=customXml/itemProps3.xml><?xml version="1.0" encoding="utf-8"?>
<ds:datastoreItem xmlns:ds="http://schemas.openxmlformats.org/officeDocument/2006/customXml" ds:itemID="{E1673858-0F58-43CF-8D9E-134C62128A1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f8980da-cfab-4d63-b13c-5c209120d7ab"/>
    <ds:schemaRef ds:uri="f91eaa2f-66a0-4696-9ae2-b18296757a1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9</vt:i4>
      </vt:variant>
    </vt:vector>
  </HeadingPairs>
  <TitlesOfParts>
    <vt:vector size="9" baseType="lpstr">
      <vt:lpstr>Cons and emi per capita</vt:lpstr>
      <vt:lpstr>Label</vt:lpstr>
      <vt:lpstr>Passenger transport data</vt:lpstr>
      <vt:lpstr>PUBLIC TRANSPORT</vt:lpstr>
      <vt:lpstr>BUS</vt:lpstr>
      <vt:lpstr>bus2</vt:lpstr>
      <vt:lpstr>Transport c&amp;e fuel vehicles</vt:lpstr>
      <vt:lpstr>Transport c&amp;e electric vehicles</vt:lpstr>
      <vt:lpstr>electric veh relation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Cristina Sanz</dc:creator>
  <cp:lastModifiedBy>Cristina Sanz</cp:lastModifiedBy>
  <cp:lastPrinted>2022-03-07T09:27:51Z</cp:lastPrinted>
  <dcterms:created xsi:type="dcterms:W3CDTF">2022-02-24T11:40:42Z</dcterms:created>
  <dcterms:modified xsi:type="dcterms:W3CDTF">2022-06-27T11:50:51Z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0x0101002471285A88D3D849B709579BC0AF15D5</vt:lpwstr>
  </property>
</Properties>
</file>