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0" documentId="8_{4C372892-E9C3-428B-950B-C5A505A38EBC}" xr6:coauthVersionLast="47" xr6:coauthVersionMax="47" xr10:uidLastSave="{9858FB03-19A3-48DB-9E26-16B1739783AD}"/>
  <bookViews>
    <workbookView xWindow="-108" yWindow="-108" windowWidth="23256" windowHeight="12456" activeTab="4"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7" i="4"/>
  <c r="B26" i="4"/>
  <c r="B25" i="4"/>
  <c r="B24" i="4"/>
  <c r="B22"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3" i="10"/>
  <c r="B23" i="10" s="1"/>
  <c r="A33" i="10"/>
  <c r="B33" i="10" s="1"/>
  <c r="A18" i="10"/>
  <c r="B18" i="10" s="1"/>
  <c r="A28" i="10"/>
  <c r="B28"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A39" i="12"/>
  <c r="A28" i="8"/>
  <c r="B28" i="8" s="1"/>
  <c r="A42" i="12"/>
  <c r="A33" i="9"/>
  <c r="A51" i="12"/>
  <c r="A31" i="9"/>
  <c r="B31" i="9" s="1"/>
  <c r="A49" i="12"/>
  <c r="A21" i="8"/>
  <c r="B21" i="8" s="1"/>
  <c r="I21" i="8" s="1"/>
  <c r="A17" i="12"/>
  <c r="A22" i="10"/>
  <c r="B22" i="10" s="1"/>
  <c r="A12" i="10"/>
  <c r="B12" i="10" s="1"/>
  <c r="A32" i="10"/>
  <c r="B32" i="10" s="1"/>
  <c r="A17" i="10"/>
  <c r="B17" i="10" s="1"/>
  <c r="A27" i="10"/>
  <c r="B27" i="10" s="1"/>
  <c r="C13" i="10"/>
  <c r="I13" i="10"/>
  <c r="C18" i="10"/>
  <c r="I18" i="10"/>
  <c r="I28" i="10"/>
  <c r="C28" i="10"/>
  <c r="I33" i="10"/>
  <c r="C33" i="10"/>
  <c r="I23" i="10"/>
  <c r="C23" i="10"/>
  <c r="A19" i="12"/>
  <c r="A34" i="10"/>
  <c r="B34" i="10" s="1"/>
  <c r="A19" i="10"/>
  <c r="B19" i="10" s="1"/>
  <c r="A14" i="10"/>
  <c r="B14" i="10" s="1"/>
  <c r="A24" i="10"/>
  <c r="B24" i="10" s="1"/>
  <c r="A29" i="10"/>
  <c r="B29" i="10" s="1"/>
  <c r="A26" i="12"/>
  <c r="A34" i="12"/>
  <c r="A22" i="12"/>
  <c r="A30" i="12"/>
  <c r="C43" i="9"/>
  <c r="I43" i="9"/>
  <c r="C42" i="9"/>
  <c r="C41" i="9"/>
  <c r="I38" i="9"/>
  <c r="C38" i="9"/>
  <c r="I37" i="9"/>
  <c r="C37" i="9"/>
  <c r="C36" i="9"/>
  <c r="I36" i="9"/>
  <c r="C32" i="9"/>
  <c r="I32" i="9"/>
  <c r="I31" i="9"/>
  <c r="C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I28" i="8"/>
  <c r="C28" i="8"/>
  <c r="F28" i="8" s="1"/>
  <c r="J27" i="8"/>
  <c r="K27" i="8" s="1"/>
  <c r="H27" i="8"/>
  <c r="I26" i="8"/>
  <c r="C26" i="8"/>
  <c r="F26" i="8" s="1"/>
  <c r="A43" i="12"/>
  <c r="B39" i="12"/>
  <c r="A41" i="12"/>
  <c r="B37" i="12"/>
  <c r="C42" i="12"/>
  <c r="B42" i="12"/>
  <c r="F20" i="8"/>
  <c r="B4" i="12"/>
  <c r="F11" i="10"/>
  <c r="H11" i="10" s="1"/>
  <c r="F31" i="10"/>
  <c r="H31" i="10" s="1"/>
  <c r="F21" i="10"/>
  <c r="F23" i="10" s="1"/>
  <c r="H23" i="10" s="1"/>
  <c r="F16" i="10"/>
  <c r="H16" i="10" s="1"/>
  <c r="F26" i="10"/>
  <c r="F18" i="10"/>
  <c r="H18" i="10" s="1"/>
  <c r="C27" i="10"/>
  <c r="I27" i="10"/>
  <c r="I24" i="10"/>
  <c r="C24" i="10"/>
  <c r="F24" i="10" s="1"/>
  <c r="I17" i="10"/>
  <c r="C17" i="10"/>
  <c r="F17" i="10" s="1"/>
  <c r="H17" i="10" s="1"/>
  <c r="I32" i="10"/>
  <c r="C32" i="10"/>
  <c r="C19" i="10"/>
  <c r="I19" i="10"/>
  <c r="C12" i="10"/>
  <c r="I12" i="10"/>
  <c r="I34" i="10"/>
  <c r="C34" i="10"/>
  <c r="I22" i="10"/>
  <c r="C22" i="10"/>
  <c r="I29" i="10"/>
  <c r="C29" i="10"/>
  <c r="F29" i="10" s="1"/>
  <c r="A31" i="12"/>
  <c r="A35" i="12"/>
  <c r="A27" i="12"/>
  <c r="A23" i="12"/>
  <c r="A25" i="12"/>
  <c r="A33" i="12"/>
  <c r="B17" i="12"/>
  <c r="A29" i="12"/>
  <c r="A21" i="12"/>
  <c r="I14" i="10"/>
  <c r="C14" i="10"/>
  <c r="C8" i="9"/>
  <c r="H3" i="12"/>
  <c r="C10" i="11"/>
  <c r="C8" i="8"/>
  <c r="J11" i="8" s="1"/>
  <c r="K11" i="8" s="1"/>
  <c r="F43" i="9"/>
  <c r="H43" i="9" s="1"/>
  <c r="F38" i="9"/>
  <c r="H38" i="9" s="1"/>
  <c r="F37" i="9"/>
  <c r="H37" i="9" s="1"/>
  <c r="F36" i="9"/>
  <c r="H36" i="9" s="1"/>
  <c r="F31" i="9"/>
  <c r="H31" i="9" s="1"/>
  <c r="F32" i="9"/>
  <c r="H32" i="9" s="1"/>
  <c r="H20" i="8"/>
  <c r="F21" i="8"/>
  <c r="F22" i="8"/>
  <c r="F11" i="9"/>
  <c r="F7" i="7"/>
  <c r="H17" i="9"/>
  <c r="F19" i="9"/>
  <c r="F20" i="9"/>
  <c r="F21" i="9"/>
  <c r="F18" i="9"/>
  <c r="H11" i="8"/>
  <c r="F13" i="8"/>
  <c r="F12" i="8"/>
  <c r="F14" i="8"/>
  <c r="F15" i="8"/>
  <c r="H17" i="8"/>
  <c r="F18" i="8"/>
  <c r="C23" i="8"/>
  <c r="F23" i="8" s="1"/>
  <c r="I33" i="9"/>
  <c r="C33" i="9"/>
  <c r="F33" i="9" s="1"/>
  <c r="E10" i="1"/>
  <c r="B49" i="12" l="1"/>
  <c r="F22" i="10"/>
  <c r="F32" i="10"/>
  <c r="H32" i="10" s="1"/>
  <c r="F42" i="9"/>
  <c r="H42" i="9" s="1"/>
  <c r="B47" i="12"/>
  <c r="F41" i="9"/>
  <c r="H41" i="9" s="1"/>
  <c r="B45" i="12"/>
  <c r="B51" i="12"/>
  <c r="J26" i="8"/>
  <c r="K26" i="8" s="1"/>
  <c r="H26" i="8"/>
  <c r="C43" i="12"/>
  <c r="B43" i="12"/>
  <c r="J28" i="8"/>
  <c r="K28" i="8" s="1"/>
  <c r="H28" i="8"/>
  <c r="C41" i="12"/>
  <c r="B41" i="12"/>
  <c r="J17" i="8"/>
  <c r="K17" i="8" s="1"/>
  <c r="J15" i="8"/>
  <c r="J20" i="8"/>
  <c r="K20" i="8" s="1"/>
  <c r="J14" i="8"/>
  <c r="J12" i="8"/>
  <c r="K12" i="8" s="1"/>
  <c r="J13" i="8"/>
  <c r="K13" i="8" s="1"/>
  <c r="B8" i="12"/>
  <c r="B6" i="12"/>
  <c r="B27" i="12" s="1"/>
  <c r="B7" i="12"/>
  <c r="B34" i="12" s="1"/>
  <c r="B5" i="12"/>
  <c r="B22" i="12" s="1"/>
  <c r="B18" i="12"/>
  <c r="B33" i="12"/>
  <c r="B35" i="12"/>
  <c r="B19" i="12"/>
  <c r="F12" i="10"/>
  <c r="H12" i="10" s="1"/>
  <c r="J26" i="10"/>
  <c r="K26" i="10" s="1"/>
  <c r="H26" i="10"/>
  <c r="F13" i="10"/>
  <c r="H13" i="10" s="1"/>
  <c r="B21" i="12"/>
  <c r="F14" i="10"/>
  <c r="H14" i="10" s="1"/>
  <c r="B23" i="12"/>
  <c r="F34" i="10"/>
  <c r="H34" i="10" s="1"/>
  <c r="F28" i="10"/>
  <c r="F19" i="10"/>
  <c r="H19" i="10" s="1"/>
  <c r="F27" i="10"/>
  <c r="J21" i="10"/>
  <c r="J24" i="10" s="1"/>
  <c r="K24" i="10" s="1"/>
  <c r="H21" i="10"/>
  <c r="F33" i="10"/>
  <c r="H33" i="10" s="1"/>
  <c r="J18" i="8"/>
  <c r="K18" i="8" s="1"/>
  <c r="B25" i="12"/>
  <c r="H22" i="10"/>
  <c r="H24" i="10"/>
  <c r="H29" i="10"/>
  <c r="H27" i="10"/>
  <c r="B29" i="12"/>
  <c r="B31" i="12"/>
  <c r="J40" i="9"/>
  <c r="K40" i="9" s="1"/>
  <c r="J30" i="9"/>
  <c r="J32" i="9" s="1"/>
  <c r="K32" i="9" s="1"/>
  <c r="I8" i="10"/>
  <c r="E2" i="11"/>
  <c r="J35" i="9"/>
  <c r="J38" i="9" s="1"/>
  <c r="K38" i="9" s="1"/>
  <c r="H8" i="12"/>
  <c r="C7" i="12" s="1"/>
  <c r="C12" i="12"/>
  <c r="C9" i="12"/>
  <c r="C11" i="12"/>
  <c r="C5" i="12"/>
  <c r="J21" i="8"/>
  <c r="K21" i="8" s="1"/>
  <c r="J23" i="8"/>
  <c r="H22" i="8"/>
  <c r="J22" i="8"/>
  <c r="K22" i="8" s="1"/>
  <c r="H21" i="8"/>
  <c r="J31" i="9"/>
  <c r="K31" i="9" s="1"/>
  <c r="J33" i="9"/>
  <c r="K33" i="9" s="1"/>
  <c r="F6" i="9"/>
  <c r="J17" i="9" s="1"/>
  <c r="J18" i="9" s="1"/>
  <c r="F8" i="7"/>
  <c r="F23" i="9" s="1"/>
  <c r="F9" i="7"/>
  <c r="F26" i="9" s="1"/>
  <c r="F10" i="7"/>
  <c r="F28" i="9" s="1"/>
  <c r="J11" i="9"/>
  <c r="H11" i="9"/>
  <c r="F12" i="9"/>
  <c r="F13" i="9"/>
  <c r="F14" i="9"/>
  <c r="F15" i="9"/>
  <c r="H20" i="9"/>
  <c r="H21" i="9"/>
  <c r="H19" i="9"/>
  <c r="H18" i="9"/>
  <c r="H13" i="8"/>
  <c r="K15" i="8"/>
  <c r="H15" i="8"/>
  <c r="H12" i="8"/>
  <c r="H14" i="8"/>
  <c r="K14" i="8"/>
  <c r="H18" i="8"/>
  <c r="K23" i="8"/>
  <c r="H23" i="8"/>
  <c r="H33" i="9"/>
  <c r="E9" i="3"/>
  <c r="E5" i="3"/>
  <c r="E3" i="3"/>
  <c r="C3" i="3" s="1"/>
  <c r="J27" i="10" l="1"/>
  <c r="K27" i="10" s="1"/>
  <c r="J29" i="10"/>
  <c r="K29" i="10" s="1"/>
  <c r="J41" i="9"/>
  <c r="K41" i="9" s="1"/>
  <c r="J42" i="9"/>
  <c r="K42" i="9" s="1"/>
  <c r="J36" i="9"/>
  <c r="K36" i="9" s="1"/>
  <c r="K35" i="9"/>
  <c r="K21" i="10"/>
  <c r="J23" i="10"/>
  <c r="K23" i="10" s="1"/>
  <c r="J22" i="10"/>
  <c r="K22" i="10" s="1"/>
  <c r="C6" i="12"/>
  <c r="B26" i="12"/>
  <c r="J28" i="10"/>
  <c r="K28" i="10" s="1"/>
  <c r="H28" i="10"/>
  <c r="C8" i="12"/>
  <c r="B30" i="12"/>
  <c r="C46" i="12"/>
  <c r="C47" i="12"/>
  <c r="C45" i="12"/>
  <c r="J43" i="9"/>
  <c r="K43" i="9" s="1"/>
  <c r="K30" i="9"/>
  <c r="C50" i="12"/>
  <c r="C49" i="12"/>
  <c r="C51" i="12"/>
  <c r="J16" i="10"/>
  <c r="J11" i="10"/>
  <c r="C38" i="12"/>
  <c r="C37" i="12"/>
  <c r="C39" i="12"/>
  <c r="J37" i="9"/>
  <c r="K37" i="9" s="1"/>
  <c r="C34" i="12"/>
  <c r="C33" i="12"/>
  <c r="C35" i="12"/>
  <c r="C23" i="12"/>
  <c r="C21" i="12"/>
  <c r="C22" i="12"/>
  <c r="K8" i="10"/>
  <c r="J31" i="10" s="1"/>
  <c r="H7" i="12"/>
  <c r="C4" i="12" s="1"/>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0" i="12" l="1"/>
  <c r="C31" i="12"/>
  <c r="C29" i="12"/>
  <c r="C26" i="12"/>
  <c r="C25" i="12"/>
  <c r="C27" i="12"/>
  <c r="J17" i="10"/>
  <c r="K17" i="10" s="1"/>
  <c r="K16" i="10"/>
  <c r="J19" i="10"/>
  <c r="K19" i="10" s="1"/>
  <c r="J18" i="10"/>
  <c r="K18" i="10" s="1"/>
  <c r="C18" i="12"/>
  <c r="C17" i="12"/>
  <c r="C19" i="12"/>
  <c r="K31" i="10"/>
  <c r="J32" i="10"/>
  <c r="K32" i="10" s="1"/>
  <c r="J33" i="10"/>
  <c r="K33" i="10" s="1"/>
  <c r="J34" i="10"/>
  <c r="K34" i="10" s="1"/>
  <c r="K11" i="10"/>
  <c r="J13" i="10"/>
  <c r="K13" i="10" s="1"/>
  <c r="J12" i="10"/>
  <c r="K12" i="10" s="1"/>
  <c r="J14" i="10"/>
  <c r="K14" i="10" s="1"/>
  <c r="E13" i="3"/>
  <c r="C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<sst xmlns="http://schemas.openxmlformats.org/spreadsheetml/2006/main" count="307" uniqueCount="195">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</sst>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IT/JRC-IDEES-2015_Residential_I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IT/JRC-IDEES-2015_Transport_I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5470.9439315186755</v>
          </cell>
        </row>
        <row r="162">
          <cell r="Q162">
            <v>744.02208495878313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28933.920568432251</v>
          </cell>
        </row>
        <row r="56">
          <cell r="Q56">
            <v>81693.35928653185</v>
          </cell>
        </row>
      </sheetData>
      <sheetData sheetId="3">
        <row r="150">
          <cell r="Q150">
            <v>23.865910143584994</v>
          </cell>
        </row>
      </sheetData>
      <sheetData sheetId="4">
        <row r="62">
          <cell r="Q62">
            <v>3.4021268529395488</v>
          </cell>
        </row>
        <row r="64">
          <cell r="Q64">
            <v>5.7286934637762146</v>
          </cell>
        </row>
        <row r="65">
          <cell r="Q65">
            <v>5.4604824174201774</v>
          </cell>
        </row>
        <row r="68">
          <cell r="Q68">
            <v>4.9705681405815625</v>
          </cell>
        </row>
        <row r="69">
          <cell r="Q69">
            <v>2.6116970636141388</v>
          </cell>
        </row>
        <row r="70">
          <cell r="Q70">
            <v>51.591869229586386</v>
          </cell>
        </row>
      </sheetData>
      <sheetData sheetId="5">
        <row r="48">
          <cell r="Q48">
            <v>2.8926910036495905</v>
          </cell>
        </row>
        <row r="49">
          <cell r="Q49">
            <v>2.9461485423851177</v>
          </cell>
        </row>
      </sheetData>
      <sheetData sheetId="6" refreshError="1"/>
      <sheetData sheetId="7">
        <row r="62">
          <cell r="Q62">
            <v>75.903069083885384</v>
          </cell>
        </row>
        <row r="63">
          <cell r="Q63">
            <v>126.06449050830319</v>
          </cell>
        </row>
        <row r="66">
          <cell r="Q66">
            <v>281.92568516871717</v>
          </cell>
        </row>
      </sheetData>
      <sheetData sheetId="8">
        <row r="31">
          <cell r="Q31">
            <v>46.63516134968669</v>
          </cell>
        </row>
        <row r="33">
          <cell r="Q33">
            <v>241.02381004174362</v>
          </cell>
        </row>
        <row r="34">
          <cell r="Q34">
            <v>201.12940075015791</v>
          </cell>
        </row>
        <row r="35">
          <cell r="Q35">
            <v>267.72212580248834</v>
          </cell>
        </row>
      </sheetData>
      <sheetData sheetId="9" refreshError="1"/>
      <sheetData sheetId="10">
        <row r="69">
          <cell r="Q69">
            <v>125.11057043340207</v>
          </cell>
        </row>
      </sheetData>
      <sheetData sheetId="11">
        <row r="37">
          <cell r="Q37">
            <v>3543.6765687138122</v>
          </cell>
        </row>
      </sheetData>
      <sheetData sheetId="12">
        <row r="41">
          <cell r="Q41">
            <v>10667.408827910142</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744.02208495878313</v>
      </c>
      <c r="C3" s="6">
        <v>0.28299999999999997</v>
      </c>
      <c r="D3" s="2">
        <f>B3*$C3</f>
        <v>210.55825004333562</v>
      </c>
      <c r="E3" s="31">
        <v>1683.54</v>
      </c>
    </row>
    <row r="4" spans="1:5" x14ac:dyDescent="0.3">
      <c r="A4" s="1" t="s">
        <v>5</v>
      </c>
      <c r="B4" s="6">
        <f>[1]RES_summary!$Q$157</f>
        <v>5470.9439315186755</v>
      </c>
      <c r="C4" s="6">
        <v>0.20200000000000001</v>
      </c>
      <c r="D4" s="29">
        <f>B4*$C4</f>
        <v>1105.1306741667725</v>
      </c>
      <c r="E4" s="31">
        <v>4507.33</v>
      </c>
    </row>
    <row r="5" spans="1:5" x14ac:dyDescent="0.3">
      <c r="A5" s="1" t="s">
        <v>6</v>
      </c>
      <c r="B5" s="2">
        <f>B3+B4</f>
        <v>6214.9660164774587</v>
      </c>
      <c r="C5" s="3" t="s">
        <v>7</v>
      </c>
      <c r="D5" s="29">
        <f>D3+D4</f>
        <v>1315.6889242101081</v>
      </c>
      <c r="E5" s="31">
        <f>E3+E4</f>
        <v>6190.87</v>
      </c>
    </row>
    <row r="7" spans="1:5" x14ac:dyDescent="0.3">
      <c r="A7" t="s">
        <v>20</v>
      </c>
      <c r="B7" s="5">
        <v>60795612</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28933.920568432251</v>
      </c>
      <c r="C10" s="2">
        <f>B10*11630*1000/B7</f>
        <v>5534.9635465610108</v>
      </c>
      <c r="D10" s="6">
        <f>[2]Transport!$Q$56</f>
        <v>81693.35928653185</v>
      </c>
      <c r="E10" s="2">
        <f>D10*1000000/B7</f>
        <v>1343.7377567073729</v>
      </c>
    </row>
    <row r="11" spans="1:5" x14ac:dyDescent="0.3">
      <c r="A11" s="39" t="s">
        <v>142</v>
      </c>
      <c r="B11" s="40">
        <f>B10*11630</f>
        <v>336501496.21086711</v>
      </c>
      <c r="C11" s="40" t="s">
        <v>143</v>
      </c>
      <c r="D11" s="40">
        <f>D10*1000</f>
        <v>81693359.286531851</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558.01656371908734</v>
      </c>
      <c r="C2" s="35">
        <f>E2*0.9</f>
        <v>669.61987646290481</v>
      </c>
      <c r="D2" s="35">
        <f>0.95*E2</f>
        <v>706.82098071084397</v>
      </c>
      <c r="E2" s="35">
        <f>'Cons and emi per capita'!B3</f>
        <v>744.02208495878313</v>
      </c>
      <c r="F2" s="35">
        <f>1.05*E2</f>
        <v>781.22318920672228</v>
      </c>
      <c r="G2" s="35">
        <f>1.25*E2</f>
        <v>930.02760619847891</v>
      </c>
      <c r="H2" s="12" t="s">
        <v>28</v>
      </c>
    </row>
    <row r="3" spans="1:8" x14ac:dyDescent="0.3">
      <c r="A3" s="1" t="s">
        <v>5</v>
      </c>
      <c r="B3" s="35">
        <f t="shared" ref="B3:B4" si="0">0.75*E3</f>
        <v>4103.2079486390066</v>
      </c>
      <c r="C3" s="35">
        <f t="shared" ref="C3:C4" si="1">E3*0.9</f>
        <v>4923.8495383668078</v>
      </c>
      <c r="D3" s="35">
        <f t="shared" ref="D3:D9" si="2">0.95*E3</f>
        <v>5197.3967349427412</v>
      </c>
      <c r="E3" s="17">
        <f>'Cons and emi per capita'!B4</f>
        <v>5470.9439315186755</v>
      </c>
      <c r="F3" s="35">
        <f t="shared" ref="F3:F9" si="3">1.05*E3</f>
        <v>5744.4911280946098</v>
      </c>
      <c r="G3" s="35">
        <f t="shared" ref="G3:G4" si="4">1.25*E3</f>
        <v>6838.6799143983444</v>
      </c>
      <c r="H3" s="1" t="s">
        <v>28</v>
      </c>
    </row>
    <row r="4" spans="1:8" x14ac:dyDescent="0.3">
      <c r="A4" s="1" t="s">
        <v>18</v>
      </c>
      <c r="B4" s="35">
        <f t="shared" si="0"/>
        <v>4661.2245123580942</v>
      </c>
      <c r="C4" s="35">
        <f t="shared" si="1"/>
        <v>5593.4694148297131</v>
      </c>
      <c r="D4" s="35">
        <f t="shared" si="2"/>
        <v>5904.2177156535854</v>
      </c>
      <c r="E4" s="17">
        <f>E2+E3</f>
        <v>6214.9660164774587</v>
      </c>
      <c r="F4" s="35">
        <f t="shared" si="3"/>
        <v>6525.7143173013319</v>
      </c>
      <c r="G4" s="35">
        <f t="shared" si="4"/>
        <v>7768.7075205968231</v>
      </c>
      <c r="H4" s="1" t="s">
        <v>28</v>
      </c>
    </row>
    <row r="5" spans="1:8" x14ac:dyDescent="0.3">
      <c r="A5" s="1" t="s">
        <v>33</v>
      </c>
      <c r="B5" s="17">
        <f>0.84*E5</f>
        <v>4649.3693791112491</v>
      </c>
      <c r="C5" s="35">
        <f>E5*0.91</f>
        <v>5036.8168273705196</v>
      </c>
      <c r="D5" s="35">
        <f t="shared" si="2"/>
        <v>5258.2153692329603</v>
      </c>
      <c r="E5" s="17">
        <f>'Cons and emi per capita'!C10</f>
        <v>5534.9635465610108</v>
      </c>
      <c r="F5" s="35">
        <f t="shared" si="3"/>
        <v>5811.7117238890614</v>
      </c>
      <c r="G5" s="17">
        <f>1.16*E5</f>
        <v>6420.5577140107725</v>
      </c>
      <c r="H5" s="1" t="s">
        <v>28</v>
      </c>
    </row>
    <row r="6" spans="1:8" x14ac:dyDescent="0.3">
      <c r="A6" s="1" t="s">
        <v>29</v>
      </c>
      <c r="B6" s="17">
        <f>0.75*E6</f>
        <v>157.91868753250171</v>
      </c>
      <c r="C6" s="35">
        <f>E6*0.9</f>
        <v>189.50242503900205</v>
      </c>
      <c r="D6" s="35">
        <f t="shared" si="2"/>
        <v>200.03033754116882</v>
      </c>
      <c r="E6" s="17">
        <f>'Cons and emi per capita'!D3</f>
        <v>210.55825004333562</v>
      </c>
      <c r="F6" s="35">
        <f t="shared" si="3"/>
        <v>221.08616254550242</v>
      </c>
      <c r="G6" s="17">
        <f>1.25*E6</f>
        <v>263.1978125541695</v>
      </c>
      <c r="H6" s="1" t="s">
        <v>30</v>
      </c>
    </row>
    <row r="7" spans="1:8" x14ac:dyDescent="0.3">
      <c r="A7" s="1" t="s">
        <v>31</v>
      </c>
      <c r="B7" s="17">
        <f>0.75*E7</f>
        <v>828.8480056250794</v>
      </c>
      <c r="C7" s="35">
        <f t="shared" ref="C7:C8" si="5">E7*0.9</f>
        <v>994.61760675009521</v>
      </c>
      <c r="D7" s="35">
        <f t="shared" si="2"/>
        <v>1049.8741404584339</v>
      </c>
      <c r="E7" s="17">
        <f>'Cons and emi per capita'!D4</f>
        <v>1105.1306741667725</v>
      </c>
      <c r="F7" s="35">
        <f t="shared" si="3"/>
        <v>1160.387207875111</v>
      </c>
      <c r="G7" s="17">
        <f t="shared" ref="G7:G8" si="6">1.25*E7</f>
        <v>1381.4133427084655</v>
      </c>
      <c r="H7" s="1" t="s">
        <v>30</v>
      </c>
    </row>
    <row r="8" spans="1:8" x14ac:dyDescent="0.3">
      <c r="A8" s="1" t="s">
        <v>32</v>
      </c>
      <c r="B8" s="17">
        <f t="shared" ref="B8" si="7">0.75*E8</f>
        <v>986.76669315758113</v>
      </c>
      <c r="C8" s="35">
        <f t="shared" si="5"/>
        <v>1184.1200317890973</v>
      </c>
      <c r="D8" s="35">
        <f t="shared" si="2"/>
        <v>1249.9044779996027</v>
      </c>
      <c r="E8" s="17">
        <f>E6+E7</f>
        <v>1315.6889242101081</v>
      </c>
      <c r="F8" s="35">
        <f t="shared" si="3"/>
        <v>1381.4733704206135</v>
      </c>
      <c r="G8" s="17">
        <f t="shared" si="6"/>
        <v>1644.6111552626351</v>
      </c>
      <c r="H8" s="1" t="s">
        <v>30</v>
      </c>
    </row>
    <row r="9" spans="1:8" x14ac:dyDescent="0.3">
      <c r="A9" s="1" t="s">
        <v>34</v>
      </c>
      <c r="B9" s="17">
        <f>0.84*E9</f>
        <v>1128.7397156341931</v>
      </c>
      <c r="C9" s="35">
        <f>E9*0.91</f>
        <v>1222.8013586037093</v>
      </c>
      <c r="D9" s="35">
        <f t="shared" si="2"/>
        <v>1276.5508688720042</v>
      </c>
      <c r="E9" s="17">
        <f>'Cons and emi per capita'!E10</f>
        <v>1343.7377567073729</v>
      </c>
      <c r="F9" s="35">
        <f t="shared" si="3"/>
        <v>1410.9246445427416</v>
      </c>
      <c r="G9" s="17">
        <f>1.16*E9</f>
        <v>1558.7357977805525</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9310.5938914693434</v>
      </c>
      <c r="C13" s="37">
        <f t="shared" ref="C13:G13" si="8">SUM(C4:C5)</f>
        <v>10630.286242200233</v>
      </c>
      <c r="D13" s="37">
        <f t="shared" si="8"/>
        <v>11162.433084886547</v>
      </c>
      <c r="E13" s="37">
        <f t="shared" si="8"/>
        <v>11749.929563038469</v>
      </c>
      <c r="F13" s="37">
        <f t="shared" si="8"/>
        <v>12337.426041190392</v>
      </c>
      <c r="G13" s="37">
        <f t="shared" si="8"/>
        <v>14189.265234607596</v>
      </c>
    </row>
    <row r="14" spans="1:8" x14ac:dyDescent="0.3">
      <c r="B14" s="37">
        <f>SUM(B8:B9)</f>
        <v>2115.5064087917744</v>
      </c>
      <c r="C14" s="37">
        <f t="shared" ref="C14:G14" si="9">SUM(C8:C9)</f>
        <v>2406.9213903928066</v>
      </c>
      <c r="D14" s="37">
        <f t="shared" si="9"/>
        <v>2526.4553468716067</v>
      </c>
      <c r="E14" s="37">
        <f t="shared" si="9"/>
        <v>2659.426680917481</v>
      </c>
      <c r="F14" s="37">
        <f t="shared" si="9"/>
        <v>2792.3980149633553</v>
      </c>
      <c r="G14" s="37">
        <f t="shared" si="9"/>
        <v>3203.3469530431876</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6" zoomScale="90" zoomScaleNormal="90" workbookViewId="0">
      <selection activeCell="A35" sqref="A35:E35"/>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57" t="s">
        <v>37</v>
      </c>
      <c r="B1" s="57"/>
      <c r="C1" s="57"/>
      <c r="D1" s="57"/>
      <c r="E1" s="57"/>
      <c r="G1" s="57" t="s">
        <v>75</v>
      </c>
      <c r="H1" s="57"/>
      <c r="I1" s="57"/>
      <c r="J1" s="57"/>
      <c r="K1" s="16"/>
    </row>
    <row r="2" spans="1:11" ht="28.2" customHeight="1" x14ac:dyDescent="0.3">
      <c r="A2" s="70" t="s">
        <v>64</v>
      </c>
      <c r="B2" s="70"/>
      <c r="C2" s="70"/>
      <c r="D2" s="70"/>
      <c r="E2" s="70"/>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1" t="s">
        <v>38</v>
      </c>
      <c r="B4" s="71"/>
      <c r="C4" s="71"/>
      <c r="D4" s="71"/>
      <c r="E4" s="71"/>
      <c r="G4" s="1" t="s">
        <v>81</v>
      </c>
      <c r="H4" s="1">
        <v>15.9</v>
      </c>
      <c r="I4" s="1">
        <v>50</v>
      </c>
      <c r="J4" s="1">
        <v>84.1</v>
      </c>
      <c r="K4" t="s">
        <v>78</v>
      </c>
    </row>
    <row r="5" spans="1:11" x14ac:dyDescent="0.3">
      <c r="A5" s="72" t="s">
        <v>39</v>
      </c>
      <c r="B5" s="72"/>
      <c r="C5" s="72"/>
      <c r="D5" s="72"/>
      <c r="E5" s="72"/>
      <c r="G5" s="1" t="s">
        <v>82</v>
      </c>
      <c r="H5" s="17">
        <f>H$4*I5/I$4</f>
        <v>7.5893594256600281</v>
      </c>
      <c r="I5" s="17">
        <f>B6</f>
        <v>23.865910143584994</v>
      </c>
      <c r="J5" s="17">
        <f>J$4*I5/I$4</f>
        <v>40.14246086150996</v>
      </c>
    </row>
    <row r="6" spans="1:11" x14ac:dyDescent="0.3">
      <c r="A6" s="1" t="s">
        <v>40</v>
      </c>
      <c r="B6" s="6">
        <f>[2]TrRoad_act!$Q$150</f>
        <v>23.865910143584994</v>
      </c>
      <c r="C6" s="1" t="s">
        <v>59</v>
      </c>
      <c r="D6" s="3" t="s">
        <v>7</v>
      </c>
      <c r="E6" s="1"/>
      <c r="G6" s="1" t="s">
        <v>83</v>
      </c>
      <c r="H6" s="17">
        <f t="shared" ref="H6:H8" si="0">H$4*I6/I$4</f>
        <v>24.13717596867555</v>
      </c>
      <c r="I6" s="17">
        <f>B20</f>
        <v>75.903069083885384</v>
      </c>
      <c r="J6" s="17">
        <f t="shared" ref="J6:J8" si="1">J$4*I6/I$4</f>
        <v>127.6689621990952</v>
      </c>
    </row>
    <row r="7" spans="1:11" x14ac:dyDescent="0.3">
      <c r="A7" s="72" t="s">
        <v>61</v>
      </c>
      <c r="B7" s="72"/>
      <c r="C7" s="72"/>
      <c r="D7" s="72"/>
      <c r="E7" s="72"/>
      <c r="G7" s="1" t="s">
        <v>84</v>
      </c>
      <c r="H7" s="17">
        <f t="shared" si="0"/>
        <v>40.088507981640419</v>
      </c>
      <c r="I7" s="17">
        <f>B21</f>
        <v>126.06449050830319</v>
      </c>
      <c r="J7" s="17">
        <f t="shared" si="1"/>
        <v>212.04047303496594</v>
      </c>
    </row>
    <row r="8" spans="1:11" x14ac:dyDescent="0.3">
      <c r="A8" s="1" t="s">
        <v>42</v>
      </c>
      <c r="B8" s="6">
        <f>[2]TrRoad_ene!$Q$62</f>
        <v>3.4021268529395488</v>
      </c>
      <c r="C8" s="70" t="s">
        <v>60</v>
      </c>
      <c r="D8" s="27">
        <f>B8*11.63/100</f>
        <v>0.39566735299686956</v>
      </c>
      <c r="E8" s="70" t="s">
        <v>41</v>
      </c>
      <c r="G8" s="1" t="s">
        <v>85</v>
      </c>
      <c r="H8" s="17">
        <f t="shared" si="0"/>
        <v>89.652367883652062</v>
      </c>
      <c r="I8" s="17">
        <f>B22</f>
        <v>281.92568516871717</v>
      </c>
      <c r="J8" s="17">
        <f t="shared" si="1"/>
        <v>474.19900245378221</v>
      </c>
    </row>
    <row r="9" spans="1:11" x14ac:dyDescent="0.3">
      <c r="A9" s="1" t="s">
        <v>43</v>
      </c>
      <c r="B9" s="3" t="s">
        <v>7</v>
      </c>
      <c r="C9" s="70"/>
      <c r="D9" s="3" t="s">
        <v>7</v>
      </c>
      <c r="E9" s="70"/>
    </row>
    <row r="10" spans="1:11" x14ac:dyDescent="0.3">
      <c r="A10" s="1" t="s">
        <v>44</v>
      </c>
      <c r="B10" s="6">
        <f>AVERAGE([2]TrRoad_ene!$Q$64:$Q$65)</f>
        <v>5.5945879405981955</v>
      </c>
      <c r="C10" s="70"/>
      <c r="D10" s="27">
        <f t="shared" ref="D10:D13" si="2">B10*11.63/100</f>
        <v>0.65065057749157018</v>
      </c>
      <c r="E10" s="70"/>
    </row>
    <row r="11" spans="1:11" x14ac:dyDescent="0.3">
      <c r="A11" s="1" t="s">
        <v>45</v>
      </c>
      <c r="B11" s="6">
        <f>[2]TrRoad_ene!$Q$68</f>
        <v>4.9705681405815625</v>
      </c>
      <c r="C11" s="70"/>
      <c r="D11" s="27">
        <f t="shared" si="2"/>
        <v>0.57807707474963577</v>
      </c>
      <c r="E11" s="70"/>
    </row>
    <row r="12" spans="1:11" x14ac:dyDescent="0.3">
      <c r="A12" s="1" t="s">
        <v>46</v>
      </c>
      <c r="B12" s="6">
        <f>[2]TrRoad_ene!$Q$69</f>
        <v>2.6116970636141388</v>
      </c>
      <c r="C12" s="70"/>
      <c r="D12" s="27">
        <f t="shared" si="2"/>
        <v>0.30374036849832436</v>
      </c>
      <c r="E12" s="70"/>
    </row>
    <row r="13" spans="1:11" x14ac:dyDescent="0.3">
      <c r="A13" s="1" t="s">
        <v>40</v>
      </c>
      <c r="B13" s="6">
        <f>[2]TrRoad_ene!$Q$70</f>
        <v>51.591869229586386</v>
      </c>
      <c r="C13" s="70"/>
      <c r="D13" s="27">
        <f t="shared" si="2"/>
        <v>6.0001343914008975</v>
      </c>
      <c r="E13" s="70"/>
    </row>
    <row r="14" spans="1:11" x14ac:dyDescent="0.3">
      <c r="A14" s="72" t="s">
        <v>63</v>
      </c>
      <c r="B14" s="72"/>
      <c r="C14" s="72"/>
      <c r="D14" s="72"/>
      <c r="E14" s="72"/>
    </row>
    <row r="15" spans="1:11" x14ac:dyDescent="0.3">
      <c r="A15" s="38" t="s">
        <v>145</v>
      </c>
      <c r="B15" s="6">
        <v>3.1</v>
      </c>
      <c r="C15" s="1" t="s">
        <v>62</v>
      </c>
      <c r="D15" s="28">
        <f>B15*1000/11630</f>
        <v>0.26655202063628547</v>
      </c>
      <c r="E15" s="1" t="s">
        <v>47</v>
      </c>
    </row>
    <row r="16" spans="1:11" x14ac:dyDescent="0.3">
      <c r="A16" s="1" t="s">
        <v>48</v>
      </c>
      <c r="B16" s="6">
        <f>AVERAGE([2]TrRoad_emi!$Q$48:$Q$49)</f>
        <v>2.9194197730173541</v>
      </c>
      <c r="C16" s="1" t="s">
        <v>62</v>
      </c>
      <c r="D16" s="28">
        <f>B16*1000/11630</f>
        <v>0.25102491599461341</v>
      </c>
      <c r="E16" s="1" t="s">
        <v>47</v>
      </c>
    </row>
    <row r="17" spans="1:5" x14ac:dyDescent="0.3">
      <c r="A17" s="1" t="s">
        <v>65</v>
      </c>
      <c r="B17" s="6">
        <v>0.21199999999999999</v>
      </c>
      <c r="C17" s="1" t="s">
        <v>47</v>
      </c>
      <c r="D17" s="2">
        <f>B17</f>
        <v>0.21199999999999999</v>
      </c>
      <c r="E17" s="1" t="s">
        <v>47</v>
      </c>
    </row>
    <row r="18" spans="1:5" x14ac:dyDescent="0.3">
      <c r="A18" s="58" t="s">
        <v>49</v>
      </c>
      <c r="B18" s="59"/>
      <c r="C18" s="59"/>
      <c r="D18" s="59"/>
      <c r="E18" s="60"/>
    </row>
    <row r="19" spans="1:5" x14ac:dyDescent="0.3">
      <c r="A19" s="61" t="s">
        <v>39</v>
      </c>
      <c r="B19" s="62"/>
      <c r="C19" s="62"/>
      <c r="D19" s="62"/>
      <c r="E19" s="63"/>
    </row>
    <row r="20" spans="1:5" x14ac:dyDescent="0.3">
      <c r="A20" s="1" t="s">
        <v>50</v>
      </c>
      <c r="B20" s="6">
        <f>[2]TrRail_act!$Q$62</f>
        <v>75.903069083885384</v>
      </c>
      <c r="C20" s="64" t="s">
        <v>59</v>
      </c>
      <c r="D20" s="3" t="s">
        <v>7</v>
      </c>
      <c r="E20" s="1"/>
    </row>
    <row r="21" spans="1:5" x14ac:dyDescent="0.3">
      <c r="A21" s="1" t="s">
        <v>51</v>
      </c>
      <c r="B21" s="6">
        <f>[2]TrRail_act!$Q$63</f>
        <v>126.06449050830319</v>
      </c>
      <c r="C21" s="65"/>
      <c r="D21" s="3" t="s">
        <v>7</v>
      </c>
      <c r="E21" s="1"/>
    </row>
    <row r="22" spans="1:5" x14ac:dyDescent="0.3">
      <c r="A22" s="1" t="s">
        <v>52</v>
      </c>
      <c r="B22" s="6">
        <f>[2]TrRail_act!$Q$66</f>
        <v>281.92568516871717</v>
      </c>
      <c r="C22" s="66"/>
      <c r="D22" s="3" t="s">
        <v>7</v>
      </c>
      <c r="E22" s="1"/>
    </row>
    <row r="23" spans="1:5" x14ac:dyDescent="0.3">
      <c r="A23" s="61" t="s">
        <v>53</v>
      </c>
      <c r="B23" s="62"/>
      <c r="C23" s="62"/>
      <c r="D23" s="62"/>
      <c r="E23" s="63"/>
    </row>
    <row r="24" spans="1:5" x14ac:dyDescent="0.3">
      <c r="A24" s="1" t="s">
        <v>50</v>
      </c>
      <c r="B24" s="6">
        <f>[2]TrRail_ene!$Q$31</f>
        <v>46.63516134968669</v>
      </c>
      <c r="C24" s="67" t="s">
        <v>60</v>
      </c>
      <c r="D24" s="2">
        <f>B24*11.63/100</f>
        <v>5.4236692649685621</v>
      </c>
      <c r="E24" s="67" t="s">
        <v>41</v>
      </c>
    </row>
    <row r="25" spans="1:5" x14ac:dyDescent="0.3">
      <c r="A25" s="1" t="s">
        <v>144</v>
      </c>
      <c r="B25" s="6">
        <f>[2]TrRail_ene!$Q$33</f>
        <v>241.02381004174362</v>
      </c>
      <c r="C25" s="68"/>
      <c r="D25" s="27">
        <f t="shared" ref="D25:D27" si="3">B25*11.63/100</f>
        <v>28.031069107854783</v>
      </c>
      <c r="E25" s="68"/>
    </row>
    <row r="26" spans="1:5" x14ac:dyDescent="0.3">
      <c r="A26" s="1" t="s">
        <v>51</v>
      </c>
      <c r="B26" s="6">
        <f>[2]TrRail_ene!$Q$34</f>
        <v>201.12940075015791</v>
      </c>
      <c r="C26" s="68"/>
      <c r="D26" s="27">
        <f t="shared" si="3"/>
        <v>23.391349307243367</v>
      </c>
      <c r="E26" s="68"/>
    </row>
    <row r="27" spans="1:5" x14ac:dyDescent="0.3">
      <c r="A27" s="1" t="s">
        <v>52</v>
      </c>
      <c r="B27" s="6">
        <f>[2]TrRail_ene!$Q$35</f>
        <v>267.72212580248834</v>
      </c>
      <c r="C27" s="69"/>
      <c r="D27" s="2">
        <f t="shared" si="3"/>
        <v>31.136083230829396</v>
      </c>
      <c r="E27" s="69"/>
    </row>
    <row r="28" spans="1:5" x14ac:dyDescent="0.3">
      <c r="A28" s="61" t="s">
        <v>63</v>
      </c>
      <c r="B28" s="62"/>
      <c r="C28" s="62"/>
      <c r="D28" s="62"/>
      <c r="E28" s="63"/>
    </row>
    <row r="29" spans="1:5" x14ac:dyDescent="0.3">
      <c r="A29" s="1" t="s">
        <v>65</v>
      </c>
      <c r="B29" s="26">
        <f>B17</f>
        <v>0.21199999999999999</v>
      </c>
      <c r="C29" s="1" t="s">
        <v>47</v>
      </c>
      <c r="D29" s="2">
        <f>B29</f>
        <v>0.21199999999999999</v>
      </c>
      <c r="E29" s="1" t="s">
        <v>47</v>
      </c>
    </row>
    <row r="30" spans="1:5" x14ac:dyDescent="0.3">
      <c r="A30" s="58" t="s">
        <v>54</v>
      </c>
      <c r="B30" s="59"/>
      <c r="C30" s="59"/>
      <c r="D30" s="59"/>
      <c r="E30" s="60"/>
    </row>
    <row r="31" spans="1:5" x14ac:dyDescent="0.3">
      <c r="A31" s="1" t="s">
        <v>68</v>
      </c>
      <c r="B31" s="6">
        <f>[2]TrAvia_act!$Q$69</f>
        <v>125.11057043340207</v>
      </c>
      <c r="C31" s="1" t="s">
        <v>67</v>
      </c>
      <c r="D31" s="3" t="s">
        <v>7</v>
      </c>
      <c r="E31" s="1"/>
    </row>
    <row r="32" spans="1:5" x14ac:dyDescent="0.3">
      <c r="A32" s="1" t="s">
        <v>72</v>
      </c>
      <c r="B32" s="6">
        <f>[2]TrAvia_ene!$Q$37</f>
        <v>3543.6765687138122</v>
      </c>
      <c r="C32" s="1" t="s">
        <v>69</v>
      </c>
      <c r="D32" s="28">
        <f>B32*11.63*10^(-3)/B31</f>
        <v>0.32941228188292704</v>
      </c>
      <c r="E32" s="1" t="s">
        <v>55</v>
      </c>
    </row>
    <row r="33" spans="1:5" x14ac:dyDescent="0.3">
      <c r="A33" s="1" t="s">
        <v>71</v>
      </c>
      <c r="B33" s="6">
        <f>[2]TrAvia_emi!$Q$41</f>
        <v>10667.408827910142</v>
      </c>
      <c r="C33" s="1" t="s">
        <v>70</v>
      </c>
      <c r="D33" s="28">
        <f>B33/B31</f>
        <v>85.263849337083286</v>
      </c>
      <c r="E33" s="1" t="s">
        <v>56</v>
      </c>
    </row>
    <row r="35" spans="1:5" x14ac:dyDescent="0.3">
      <c r="A35" s="73" t="s">
        <v>73</v>
      </c>
      <c r="B35" s="74"/>
      <c r="C35" s="74"/>
      <c r="D35" s="74"/>
      <c r="E35" s="75"/>
    </row>
    <row r="36" spans="1:5" x14ac:dyDescent="0.3">
      <c r="A36" s="44" t="s">
        <v>74</v>
      </c>
      <c r="B36" s="45"/>
      <c r="C36" s="45"/>
      <c r="D36" s="45"/>
      <c r="E36" s="46"/>
    </row>
  </sheetData>
  <mergeCells count="20">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0.21199999999999999</v>
      </c>
    </row>
    <row r="4" spans="1:8" x14ac:dyDescent="0.3">
      <c r="A4" t="s">
        <v>87</v>
      </c>
      <c r="B4">
        <f>'Passenger transport data'!D13</f>
        <v>6.0001343914008975</v>
      </c>
      <c r="C4">
        <f>Tabla4[[#This Row],[ENERGY CONSUMPTION PER VEHICLE]]*H7</f>
        <v>1.4894677893994817</v>
      </c>
      <c r="G4" t="s">
        <v>165</v>
      </c>
      <c r="H4">
        <f>BUS!C16</f>
        <v>0.25365434221840066</v>
      </c>
    </row>
    <row r="5" spans="1:8" x14ac:dyDescent="0.3">
      <c r="A5" t="s">
        <v>179</v>
      </c>
      <c r="B5">
        <f>B4</f>
        <v>6.0001343914008975</v>
      </c>
      <c r="C5">
        <f>Tabla4[[#This Row],[ENERGY CONSUMPTION PER VEHICLE]]*H3</f>
        <v>1.2720284909769903</v>
      </c>
      <c r="G5" t="s">
        <v>180</v>
      </c>
      <c r="H5">
        <f>'Passenger transport data'!D15</f>
        <v>0.26655202063628547</v>
      </c>
    </row>
    <row r="6" spans="1:8" x14ac:dyDescent="0.3">
      <c r="A6" t="s">
        <v>181</v>
      </c>
      <c r="B6">
        <f>B4</f>
        <v>6.0001343914008975</v>
      </c>
      <c r="C6">
        <f>Tabla4[[#This Row],[ENERGY CONSUMPTION PER VEHICLE]]*H4</f>
        <v>1.5219601422727984</v>
      </c>
      <c r="G6" t="s">
        <v>182</v>
      </c>
      <c r="H6">
        <f>BUS!E5</f>
        <v>0.22800000000000001</v>
      </c>
    </row>
    <row r="7" spans="1:8" x14ac:dyDescent="0.3">
      <c r="A7" t="s">
        <v>191</v>
      </c>
      <c r="B7">
        <f>B4</f>
        <v>6.0001343914008975</v>
      </c>
      <c r="C7">
        <f>Tabla4[[#This Row],[ENERGY CONSUMPTION PER VEHICLE]]*H8</f>
        <v>1.3969943166248944</v>
      </c>
      <c r="G7" t="s">
        <v>184</v>
      </c>
      <c r="H7">
        <f>BUS!E2</f>
        <v>0.24823907136715387</v>
      </c>
    </row>
    <row r="8" spans="1:8" x14ac:dyDescent="0.3">
      <c r="A8" t="s">
        <v>183</v>
      </c>
      <c r="B8">
        <f>B4</f>
        <v>6.0001343914008975</v>
      </c>
      <c r="C8">
        <f>Tabla4[[#This Row],[ENERGY CONSUMPTION PER VEHICLE]]*H6</f>
        <v>1.3680306412394048</v>
      </c>
      <c r="G8" t="s">
        <v>192</v>
      </c>
      <c r="H8">
        <f>0.5*H3+0.5*H4</f>
        <v>0.23282717110920031</v>
      </c>
    </row>
    <row r="9" spans="1:8" x14ac:dyDescent="0.3">
      <c r="A9" t="s">
        <v>185</v>
      </c>
      <c r="B9">
        <f>'Passenger transport data'!D26</f>
        <v>23.391349307243367</v>
      </c>
      <c r="C9">
        <f>Tabla4[[#This Row],[ENERGY CONSUMPTION PER VEHICLE]]*H3</f>
        <v>4.9589660531355939</v>
      </c>
    </row>
    <row r="10" spans="1:8" x14ac:dyDescent="0.3">
      <c r="A10" t="s">
        <v>146</v>
      </c>
      <c r="B10">
        <f>'Passenger transport data'!D25</f>
        <v>28.031069107854783</v>
      </c>
      <c r="C10">
        <f>Tabla4[[#This Row],[ENERGY CONSUMPTION PER VEHICLE]]*H5</f>
        <v>7.4717381112940524</v>
      </c>
    </row>
    <row r="11" spans="1:8" x14ac:dyDescent="0.3">
      <c r="A11" t="s">
        <v>103</v>
      </c>
      <c r="B11">
        <f>'Passenger transport data'!D27</f>
        <v>31.136083230829396</v>
      </c>
      <c r="C11">
        <f>Tabla4[[#This Row],[ENERGY CONSUMPTION PER VEHICLE]]*H3</f>
        <v>6.600849644935832</v>
      </c>
    </row>
    <row r="12" spans="1:8" x14ac:dyDescent="0.3">
      <c r="A12" t="s">
        <v>186</v>
      </c>
      <c r="B12">
        <f>'Passenger transport data'!D24</f>
        <v>5.4236692649685621</v>
      </c>
      <c r="C12">
        <f>Tabla4[[#This Row],[ENERGY CONSUMPTION PER VEHICLE]]*H3</f>
        <v>1.1498178841733351</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7.5893594256600281</v>
      </c>
      <c r="B17">
        <f>B4/Tabla5[[#This Row],[LEVEL OF OCCUPANCY]]</f>
        <v>0.79059826460638083</v>
      </c>
      <c r="C17">
        <f>C4/Tabla5[[#This Row],[LEVEL OF OCCUPANCY]]</f>
        <v>0.19625737903037135</v>
      </c>
    </row>
    <row r="18" spans="1:3" x14ac:dyDescent="0.3">
      <c r="A18" s="37">
        <f>'Passenger transport data'!I5</f>
        <v>23.865910143584994</v>
      </c>
      <c r="B18">
        <f>B4/Tabla5[[#This Row],[LEVEL OF OCCUPANCY]]</f>
        <v>0.2514102481448291</v>
      </c>
      <c r="C18">
        <f>C4/Tabla5[[#This Row],[LEVEL OF OCCUPANCY]]</f>
        <v>6.2409846531658091E-2</v>
      </c>
    </row>
    <row r="19" spans="1:3" x14ac:dyDescent="0.3">
      <c r="A19" s="37">
        <f>'Passenger transport data'!J5</f>
        <v>40.14246086150996</v>
      </c>
      <c r="B19">
        <f>B4/Tabla5[[#This Row],[LEVEL OF OCCUPANCY]]</f>
        <v>0.14947101554389364</v>
      </c>
      <c r="C19">
        <f>C4/Tabla5[[#This Row],[LEVEL OF OCCUPANCY]]</f>
        <v>3.710454609492158E-2</v>
      </c>
    </row>
    <row r="20" spans="1:3" x14ac:dyDescent="0.3">
      <c r="A20" t="s">
        <v>179</v>
      </c>
    </row>
    <row r="21" spans="1:3" x14ac:dyDescent="0.3">
      <c r="A21" s="37">
        <f>A17</f>
        <v>7.5893594256600281</v>
      </c>
      <c r="B21">
        <f>B5/Tabla5[[#This Row],[LEVEL OF OCCUPANCY]]</f>
        <v>0.79059826460638083</v>
      </c>
      <c r="C21">
        <f>C5/Tabla5[[#This Row],[LEVEL OF OCCUPANCY]]</f>
        <v>0.16760683209655275</v>
      </c>
    </row>
    <row r="22" spans="1:3" x14ac:dyDescent="0.3">
      <c r="A22" s="37">
        <f>A18</f>
        <v>23.865910143584994</v>
      </c>
      <c r="B22">
        <f>B5/Tabla5[[#This Row],[LEVEL OF OCCUPANCY]]</f>
        <v>0.2514102481448291</v>
      </c>
      <c r="C22">
        <f>C5/Tabla5[[#This Row],[LEVEL OF OCCUPANCY]]</f>
        <v>5.3298972606703771E-2</v>
      </c>
    </row>
    <row r="23" spans="1:3" x14ac:dyDescent="0.3">
      <c r="A23" s="37">
        <f>A19</f>
        <v>40.14246086150996</v>
      </c>
      <c r="B23">
        <f>B5/Tabla5[[#This Row],[LEVEL OF OCCUPANCY]]</f>
        <v>0.14947101554389364</v>
      </c>
      <c r="C23">
        <f>C5/Tabla5[[#This Row],[LEVEL OF OCCUPANCY]]</f>
        <v>3.1687855295305455E-2</v>
      </c>
    </row>
    <row r="24" spans="1:3" x14ac:dyDescent="0.3">
      <c r="A24" t="s">
        <v>181</v>
      </c>
    </row>
    <row r="25" spans="1:3" x14ac:dyDescent="0.3">
      <c r="A25" s="37">
        <f>A17</f>
        <v>7.5893594256600281</v>
      </c>
      <c r="B25">
        <f>B6/Tabla5[[#This Row],[LEVEL OF OCCUPANCY]]</f>
        <v>0.79059826460638083</v>
      </c>
      <c r="C25">
        <f>C6/Tabla5[[#This Row],[LEVEL OF OCCUPANCY]]</f>
        <v>0.20053868276774062</v>
      </c>
    </row>
    <row r="26" spans="1:3" x14ac:dyDescent="0.3">
      <c r="A26" s="37">
        <f>A18</f>
        <v>23.865910143584994</v>
      </c>
      <c r="B26">
        <f>B6/Tabla5[[#This Row],[LEVEL OF OCCUPANCY]]</f>
        <v>0.2514102481448291</v>
      </c>
      <c r="C26">
        <f>C6/Tabla5[[#This Row],[LEVEL OF OCCUPANCY]]</f>
        <v>6.377130112014151E-2</v>
      </c>
    </row>
    <row r="27" spans="1:3" x14ac:dyDescent="0.3">
      <c r="A27" s="37">
        <f>A19</f>
        <v>40.14246086150996</v>
      </c>
      <c r="B27">
        <f>B6/Tabla5[[#This Row],[LEVEL OF OCCUPANCY]]</f>
        <v>0.14947101554389364</v>
      </c>
      <c r="C27">
        <f>C6/Tabla5[[#This Row],[LEVEL OF OCCUPANCY]]</f>
        <v>3.7913972128502685E-2</v>
      </c>
    </row>
    <row r="28" spans="1:3" x14ac:dyDescent="0.3">
      <c r="A28" s="37" t="s">
        <v>183</v>
      </c>
    </row>
    <row r="29" spans="1:3" x14ac:dyDescent="0.3">
      <c r="A29" s="37">
        <f>A17</f>
        <v>7.5893594256600281</v>
      </c>
      <c r="B29">
        <f>B8/Tabla5[[#This Row],[LEVEL OF OCCUPANCY]]</f>
        <v>0.79059826460638083</v>
      </c>
      <c r="C29">
        <f>C8/Tabla5[[#This Row],[LEVEL OF OCCUPANCY]]</f>
        <v>0.18025640433025486</v>
      </c>
    </row>
    <row r="30" spans="1:3" x14ac:dyDescent="0.3">
      <c r="A30" s="37">
        <f>A18</f>
        <v>23.865910143584994</v>
      </c>
      <c r="B30">
        <f>B8/Tabla5[[#This Row],[LEVEL OF OCCUPANCY]]</f>
        <v>0.2514102481448291</v>
      </c>
      <c r="C30">
        <f>C8/Tabla5[[#This Row],[LEVEL OF OCCUPANCY]]</f>
        <v>5.7321536577021041E-2</v>
      </c>
    </row>
    <row r="31" spans="1:3" x14ac:dyDescent="0.3">
      <c r="A31" s="37">
        <f>A19</f>
        <v>40.14246086150996</v>
      </c>
      <c r="B31">
        <f>B8/Tabla5[[#This Row],[LEVEL OF OCCUPANCY]]</f>
        <v>0.14947101554389364</v>
      </c>
      <c r="C31">
        <f>C8/Tabla5[[#This Row],[LEVEL OF OCCUPANCY]]</f>
        <v>3.4079391544007756E-2</v>
      </c>
    </row>
    <row r="32" spans="1:3" x14ac:dyDescent="0.3">
      <c r="A32" s="37" t="s">
        <v>191</v>
      </c>
    </row>
    <row r="33" spans="1:3" x14ac:dyDescent="0.3">
      <c r="A33" s="37">
        <f>A17</f>
        <v>7.5893594256600281</v>
      </c>
      <c r="B33">
        <f>B7/Tabla5[[#This Row],[LEVEL OF OCCUPANCY]]</f>
        <v>0.79059826460638083</v>
      </c>
      <c r="C33">
        <f>C7/Tabla5[[#This Row],[LEVEL OF OCCUPANCY]]</f>
        <v>0.18407275743214668</v>
      </c>
    </row>
    <row r="34" spans="1:3" x14ac:dyDescent="0.3">
      <c r="A34" s="37">
        <f>A18</f>
        <v>23.865910143584994</v>
      </c>
      <c r="B34">
        <f>B7/Tabla5[[#This Row],[LEVEL OF OCCUPANCY]]</f>
        <v>0.2514102481448291</v>
      </c>
      <c r="C34">
        <f>C7/Tabla5[[#This Row],[LEVEL OF OCCUPANCY]]</f>
        <v>5.853513686342264E-2</v>
      </c>
    </row>
    <row r="35" spans="1:3" x14ac:dyDescent="0.3">
      <c r="A35" s="37">
        <f>A19</f>
        <v>40.14246086150996</v>
      </c>
      <c r="B35">
        <f>B7/Tabla5[[#This Row],[LEVEL OF OCCUPANCY]]</f>
        <v>0.14947101554389364</v>
      </c>
      <c r="C35">
        <f>C7/Tabla5[[#This Row],[LEVEL OF OCCUPANCY]]</f>
        <v>3.4800913711904066E-2</v>
      </c>
    </row>
    <row r="36" spans="1:3" x14ac:dyDescent="0.3">
      <c r="A36" t="s">
        <v>185</v>
      </c>
    </row>
    <row r="37" spans="1:3" x14ac:dyDescent="0.3">
      <c r="A37" s="37">
        <f>'Passenger transport data'!H7</f>
        <v>40.088507981640419</v>
      </c>
      <c r="B37">
        <f>B9/Tabla5[[#This Row],[LEVEL OF OCCUPANCY]]</f>
        <v>0.58349263878705704</v>
      </c>
      <c r="C37">
        <f>C9/Tabla5[[#This Row],[LEVEL OF OCCUPANCY]]</f>
        <v>0.12370043942285611</v>
      </c>
    </row>
    <row r="38" spans="1:3" x14ac:dyDescent="0.3">
      <c r="A38" s="37">
        <f>'Passenger transport data'!I7</f>
        <v>126.06449050830319</v>
      </c>
      <c r="B38">
        <f>B9/Tabla5[[#This Row],[LEVEL OF OCCUPANCY]]</f>
        <v>0.18555065913428415</v>
      </c>
      <c r="C38">
        <f>C9/Tabla5[[#This Row],[LEVEL OF OCCUPANCY]]</f>
        <v>3.9336739736468243E-2</v>
      </c>
    </row>
    <row r="39" spans="1:3" x14ac:dyDescent="0.3">
      <c r="A39" s="37">
        <f>'Passenger transport data'!J7</f>
        <v>212.04047303496594</v>
      </c>
      <c r="B39">
        <f>B9/Tabla5[[#This Row],[LEVEL OF OCCUPANCY]]</f>
        <v>0.11031549294547217</v>
      </c>
      <c r="C39">
        <f>C9/Tabla5[[#This Row],[LEVEL OF OCCUPANCY]]</f>
        <v>2.3386884504440101E-2</v>
      </c>
    </row>
    <row r="40" spans="1:3" x14ac:dyDescent="0.3">
      <c r="A40" t="s">
        <v>146</v>
      </c>
    </row>
    <row r="41" spans="1:3" x14ac:dyDescent="0.3">
      <c r="A41" s="37">
        <f>A37</f>
        <v>40.088507981640419</v>
      </c>
      <c r="B41">
        <f>B10/Tabla5[[#This Row],[LEVEL OF OCCUPANCY]]</f>
        <v>0.69922954280793748</v>
      </c>
      <c r="C41">
        <f>C10/Tabla5[[#This Row],[LEVEL OF OCCUPANCY]]</f>
        <v>0.1863810475240418</v>
      </c>
    </row>
    <row r="42" spans="1:3" x14ac:dyDescent="0.3">
      <c r="A42" s="37">
        <f>A38</f>
        <v>126.06449050830319</v>
      </c>
      <c r="B42">
        <f>B10/Tabla5[[#This Row],[LEVEL OF OCCUPANCY]]</f>
        <v>0.22235499461292413</v>
      </c>
      <c r="C42">
        <f>C10/Tabla5[[#This Row],[LEVEL OF OCCUPANCY]]</f>
        <v>5.9269173112645304E-2</v>
      </c>
    </row>
    <row r="43" spans="1:3" x14ac:dyDescent="0.3">
      <c r="A43" s="37">
        <f>A39</f>
        <v>212.04047303496594</v>
      </c>
      <c r="B43">
        <f>B10/Tabla5[[#This Row],[LEVEL OF OCCUPANCY]]</f>
        <v>0.13219678633348642</v>
      </c>
      <c r="C43">
        <f>C10/Tabla5[[#This Row],[LEVEL OF OCCUPANCY]]</f>
        <v>3.5237320518814098E-2</v>
      </c>
    </row>
    <row r="44" spans="1:3" x14ac:dyDescent="0.3">
      <c r="A44" s="37" t="s">
        <v>103</v>
      </c>
    </row>
    <row r="45" spans="1:3" x14ac:dyDescent="0.3">
      <c r="A45" s="37">
        <f>'Passenger transport data'!H8</f>
        <v>89.652367883652062</v>
      </c>
      <c r="B45">
        <f>B11/Tabla5[[#This Row],[LEVEL OF OCCUPANCY]]</f>
        <v>0.34729794612047277</v>
      </c>
      <c r="C45">
        <f>C11/Tabla5[[#This Row],[LEVEL OF OCCUPANCY]]</f>
        <v>7.3627164577540219E-2</v>
      </c>
    </row>
    <row r="46" spans="1:3" x14ac:dyDescent="0.3">
      <c r="A46" s="37">
        <f>'Passenger transport data'!I8</f>
        <v>281.92568516871717</v>
      </c>
      <c r="B46">
        <f>B11/Tabla5[[#This Row],[LEVEL OF OCCUPANCY]]</f>
        <v>0.11044074686631034</v>
      </c>
      <c r="C46">
        <f>C11/Tabla5[[#This Row],[LEVEL OF OCCUPANCY]]</f>
        <v>2.3413438335657791E-2</v>
      </c>
    </row>
    <row r="47" spans="1:3" x14ac:dyDescent="0.3">
      <c r="A47" s="37">
        <f>'Passenger transport data'!J8</f>
        <v>474.19900245378221</v>
      </c>
      <c r="B47">
        <f>B11/Tabla5[[#This Row],[LEVEL OF OCCUPANCY]]</f>
        <v>6.5660372691028743E-2</v>
      </c>
      <c r="C47">
        <f>C11/Tabla5[[#This Row],[LEVEL OF OCCUPANCY]]</f>
        <v>1.3919999010498094E-2</v>
      </c>
    </row>
    <row r="48" spans="1:3" x14ac:dyDescent="0.3">
      <c r="A48" t="s">
        <v>186</v>
      </c>
    </row>
    <row r="49" spans="1:3" x14ac:dyDescent="0.3">
      <c r="A49" s="37">
        <f>'Passenger transport data'!H6</f>
        <v>24.13717596867555</v>
      </c>
      <c r="B49">
        <f>B12/Tabla5[[#This Row],[LEVEL OF OCCUPANCY]]</f>
        <v>0.22470189851568492</v>
      </c>
      <c r="C49">
        <f>C12/Tabla5[[#This Row],[LEVEL OF OCCUPANCY]]</f>
        <v>4.7636802485325196E-2</v>
      </c>
    </row>
    <row r="50" spans="1:3" x14ac:dyDescent="0.3">
      <c r="A50" s="37">
        <f>'Passenger transport data'!I6</f>
        <v>75.903069083885384</v>
      </c>
      <c r="B50">
        <f>B12/Tabla5[[#This Row],[LEVEL OF OCCUPANCY]]</f>
        <v>7.145520372798779E-2</v>
      </c>
      <c r="C50">
        <f>C12/Tabla5[[#This Row],[LEVEL OF OCCUPANCY]]</f>
        <v>1.5148503190333411E-2</v>
      </c>
    </row>
    <row r="51" spans="1:3" x14ac:dyDescent="0.3">
      <c r="A51" s="37">
        <f>'Passenger transport data'!J6</f>
        <v>127.6689621990952</v>
      </c>
      <c r="B51">
        <f>B12/Tabla5[[#This Row],[LEVEL OF OCCUPANCY]]</f>
        <v>4.2482285212834606E-2</v>
      </c>
      <c r="C51">
        <f>C12/Tabla5[[#This Row],[LEVEL OF OCCUPANCY]]</f>
        <v>9.0062444651209349E-3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tabSelected="1"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5.3</v>
      </c>
      <c r="E2">
        <f>(Tabla1[[#This Row],[% fuel used for buses]]*C10+C3*((C11+C10)/2)+C4*((C12+C13+C14)/3)+C5*C15+C6*C16)/100</f>
        <v>0.24823907136715387</v>
      </c>
      <c r="F2" t="s">
        <v>47</v>
      </c>
    </row>
    <row r="3" spans="2:6" x14ac:dyDescent="0.3">
      <c r="B3" t="s">
        <v>161</v>
      </c>
      <c r="C3">
        <v>5.8</v>
      </c>
    </row>
    <row r="4" spans="2:6" x14ac:dyDescent="0.3">
      <c r="B4" t="s">
        <v>162</v>
      </c>
      <c r="C4">
        <v>8.1999999999999993</v>
      </c>
      <c r="E4" t="s">
        <v>163</v>
      </c>
    </row>
    <row r="5" spans="2:6" x14ac:dyDescent="0.3">
      <c r="B5" t="s">
        <v>164</v>
      </c>
      <c r="C5">
        <v>0</v>
      </c>
      <c r="E5">
        <f>(C12+C13+C14)/3</f>
        <v>0.22800000000000001</v>
      </c>
      <c r="F5" t="s">
        <v>47</v>
      </c>
    </row>
    <row r="6" spans="2:6" x14ac:dyDescent="0.3">
      <c r="B6" t="s">
        <v>165</v>
      </c>
      <c r="C6">
        <v>80.8</v>
      </c>
    </row>
    <row r="9" spans="2:6" x14ac:dyDescent="0.3">
      <c r="B9" t="s">
        <v>166</v>
      </c>
      <c r="C9" t="s">
        <v>167</v>
      </c>
    </row>
    <row r="10" spans="2:6" x14ac:dyDescent="0.3">
      <c r="B10" t="s">
        <v>168</v>
      </c>
      <c r="C10">
        <f>'Passenger transport data'!D17</f>
        <v>0.21199999999999999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2.89*1000/11630</f>
        <v>0.24849527085124679</v>
      </c>
    </row>
    <row r="16" spans="2:6" x14ac:dyDescent="0.3">
      <c r="B16" t="s">
        <v>165</v>
      </c>
      <c r="C16">
        <f>2.95*1000/11630</f>
        <v>0.25365434221840066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248.49527085124677</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251.02491599461339</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253.65434221840067</v>
      </c>
      <c r="D8" s="22" t="s">
        <v>108</v>
      </c>
      <c r="E8" s="22" t="s">
        <v>147</v>
      </c>
      <c r="F8" s="22">
        <f>BUS!C16*1000</f>
        <v>253.65434221840067</v>
      </c>
      <c r="G8" s="22" t="s">
        <v>108</v>
      </c>
      <c r="H8" s="21" t="s">
        <v>131</v>
      </c>
      <c r="I8" s="22">
        <f>BUS!C10*1000</f>
        <v>212</v>
      </c>
      <c r="J8" s="22" t="s">
        <v>108</v>
      </c>
      <c r="K8" s="43">
        <f>BUS!E2*1000</f>
        <v>248.23907136715385</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6.0001343914008975</v>
      </c>
      <c r="G11" s="87"/>
      <c r="H11" s="30">
        <f>F11/A11</f>
        <v>6.0001343914008975</v>
      </c>
      <c r="I11" s="1">
        <v>0</v>
      </c>
      <c r="J11" s="1">
        <f>I$8*F11</f>
        <v>1272.0284909769903</v>
      </c>
      <c r="K11" s="30">
        <f>J11/A11</f>
        <v>1272.0284909769903</v>
      </c>
    </row>
    <row r="12" spans="1:13" x14ac:dyDescent="0.3">
      <c r="A12" s="18">
        <f>'Passenger transport data'!H5</f>
        <v>7.5893594256600281</v>
      </c>
      <c r="B12" s="1">
        <f>C$7*A12</f>
        <v>607.14875405280225</v>
      </c>
      <c r="C12" s="87">
        <f>I$4*B12/100</f>
        <v>5.1607644094488189E-2</v>
      </c>
      <c r="D12" s="87"/>
      <c r="E12" s="87"/>
      <c r="F12" s="87">
        <f>F$11+C12</f>
        <v>6.0517420354953861</v>
      </c>
      <c r="G12" s="87"/>
      <c r="H12" s="27">
        <f t="shared" ref="H12:H14" si="0">F12/A12</f>
        <v>0.79739826460638086</v>
      </c>
      <c r="I12" s="1">
        <f>I$6*B12</f>
        <v>17.000165113478459</v>
      </c>
      <c r="J12" s="1">
        <f>F12*(I12+J$11)</f>
        <v>7800.8689030208152</v>
      </c>
      <c r="K12" s="27">
        <f>J12/A12</f>
        <v>1027.8692133944351</v>
      </c>
    </row>
    <row r="13" spans="1:13" x14ac:dyDescent="0.3">
      <c r="A13" s="18">
        <f>'Passenger transport data'!I5</f>
        <v>23.865910143584994</v>
      </c>
      <c r="B13" s="1">
        <f t="shared" ref="B13:B14" si="1">C$7*A13</f>
        <v>1909.2728114867996</v>
      </c>
      <c r="C13" s="87">
        <f t="shared" ref="C13:C14" si="2">I$4*B13/100</f>
        <v>0.16228818897637798</v>
      </c>
      <c r="D13" s="87"/>
      <c r="E13" s="87"/>
      <c r="F13" s="87">
        <f t="shared" ref="F13:F14" si="3">F$11+C13</f>
        <v>6.1624225803772754</v>
      </c>
      <c r="G13" s="87"/>
      <c r="H13" s="27">
        <f t="shared" si="0"/>
        <v>0.25821024814482912</v>
      </c>
      <c r="I13" s="1">
        <f t="shared" ref="I13:I14" si="4">I$6*B13</f>
        <v>53.459638721630384</v>
      </c>
      <c r="J13" s="1">
        <f>F13*(I13+J$11)</f>
        <v>8168.217980476823</v>
      </c>
      <c r="K13" s="27">
        <f>J13/A13</f>
        <v>342.25461888250629</v>
      </c>
    </row>
    <row r="14" spans="1:13" x14ac:dyDescent="0.3">
      <c r="A14" s="18">
        <f>'Passenger transport data'!J5</f>
        <v>40.14246086150996</v>
      </c>
      <c r="B14" s="1">
        <f t="shared" si="1"/>
        <v>3211.3968689207968</v>
      </c>
      <c r="C14" s="87">
        <f t="shared" si="2"/>
        <v>0.27296873385826775</v>
      </c>
      <c r="D14" s="87"/>
      <c r="E14" s="87"/>
      <c r="F14" s="87">
        <f t="shared" si="3"/>
        <v>6.2731031252591656</v>
      </c>
      <c r="G14" s="87"/>
      <c r="H14" s="27">
        <f t="shared" si="0"/>
        <v>0.15627101554389367</v>
      </c>
      <c r="I14" s="1">
        <f t="shared" si="4"/>
        <v>89.919112329782308</v>
      </c>
      <c r="J14" s="1">
        <f>F14*(I14+J$11)</f>
        <v>8543.637766742946</v>
      </c>
      <c r="K14" s="27">
        <f>J14/A14</f>
        <v>212.83293508632138</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6.0001343914008975</v>
      </c>
      <c r="G16" s="87"/>
      <c r="H16" s="30">
        <f>F16/A16</f>
        <v>6.0001343914008975</v>
      </c>
      <c r="I16" s="1">
        <v>0</v>
      </c>
      <c r="J16" s="1">
        <f>F16*(0.5*C$8+0.5*I$8)</f>
        <v>1396.9943166248943</v>
      </c>
      <c r="K16" s="30">
        <f>J16/A16</f>
        <v>1396.9943166248943</v>
      </c>
    </row>
    <row r="17" spans="1:11" x14ac:dyDescent="0.3">
      <c r="A17" s="18">
        <f>'Passenger transport data'!H5</f>
        <v>7.5893594256600281</v>
      </c>
      <c r="B17" s="1">
        <f>C$7*A17</f>
        <v>607.14875405280225</v>
      </c>
      <c r="C17" s="88">
        <f>B17*(0.5*I$4+0.5*C$5)/100</f>
        <v>0.14723357285780456</v>
      </c>
      <c r="D17" s="89"/>
      <c r="E17" s="90"/>
      <c r="F17" s="88">
        <f>F$16+C17</f>
        <v>6.1473679642587022</v>
      </c>
      <c r="G17" s="90"/>
      <c r="H17" s="27">
        <f>F17/A17</f>
        <v>0.80999826460638091</v>
      </c>
      <c r="I17" s="1">
        <f>B17*(0.5*C$6+0.5*I$6)/100</f>
        <v>0.38857520259379341</v>
      </c>
      <c r="J17" s="1">
        <f>F17*(I17+J$16)</f>
        <v>8590.226823023484</v>
      </c>
      <c r="K17" s="27">
        <f>J17/A17</f>
        <v>1131.8777173709113</v>
      </c>
    </row>
    <row r="18" spans="1:11" x14ac:dyDescent="0.3">
      <c r="A18" s="18">
        <f>'Passenger transport data'!I5</f>
        <v>23.865910143584994</v>
      </c>
      <c r="B18" s="1">
        <f t="shared" ref="B18:B19" si="5">C$7*A18</f>
        <v>1909.2728114867996</v>
      </c>
      <c r="C18" s="88">
        <f t="shared" ref="C18:C19" si="6">B18*(0.5*I$4+0.5*C$5)/100</f>
        <v>0.46299865678554897</v>
      </c>
      <c r="D18" s="89"/>
      <c r="E18" s="90"/>
      <c r="F18" s="88">
        <f t="shared" ref="F18:F19" si="7">F$16+C18</f>
        <v>6.4631330481864468</v>
      </c>
      <c r="G18" s="90"/>
      <c r="H18" s="27">
        <f t="shared" ref="H18:H19" si="8">F18/A18</f>
        <v>0.27081024814482912</v>
      </c>
      <c r="I18" s="1">
        <f t="shared" ref="I18:I19" si="9">B18*(0.5*C$6+0.5*I$6)/100</f>
        <v>1.2219345993515518</v>
      </c>
      <c r="J18" s="1">
        <f t="shared" ref="J18:J19" si="10">F18*(I18+J$16)</f>
        <v>9036.8576617987856</v>
      </c>
      <c r="K18" s="27">
        <f t="shared" ref="K18:K19" si="11">J18/A18</f>
        <v>378.65128995417069</v>
      </c>
    </row>
    <row r="19" spans="1:11" x14ac:dyDescent="0.3">
      <c r="A19" s="18">
        <f>'Passenger transport data'!J5</f>
        <v>40.14246086150996</v>
      </c>
      <c r="B19" s="1">
        <f t="shared" si="5"/>
        <v>3211.3968689207968</v>
      </c>
      <c r="C19" s="88">
        <f t="shared" si="6"/>
        <v>0.77876374071329324</v>
      </c>
      <c r="D19" s="89"/>
      <c r="E19" s="90"/>
      <c r="F19" s="88">
        <f t="shared" si="7"/>
        <v>6.7788981321141906</v>
      </c>
      <c r="G19" s="90"/>
      <c r="H19" s="27">
        <f t="shared" si="8"/>
        <v>0.16887101554389364</v>
      </c>
      <c r="I19" s="1">
        <f t="shared" si="9"/>
        <v>2.05529399610931</v>
      </c>
      <c r="J19" s="1">
        <f t="shared" si="10"/>
        <v>9484.014792173808</v>
      </c>
      <c r="K19" s="27">
        <f t="shared" si="11"/>
        <v>236.25892854185787</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6.0001343914008975</v>
      </c>
      <c r="G21" s="87"/>
      <c r="H21" s="30">
        <f>F21/A21</f>
        <v>6.0001343914008975</v>
      </c>
      <c r="I21" s="1">
        <v>0</v>
      </c>
      <c r="J21" s="1">
        <f>F21*K$6</f>
        <v>1368.0306412394045</v>
      </c>
      <c r="K21" s="30">
        <f>J21/A21</f>
        <v>1368.0306412394045</v>
      </c>
    </row>
    <row r="22" spans="1:11" x14ac:dyDescent="0.3">
      <c r="A22" s="18">
        <f>'Passenger transport data'!H5</f>
        <v>7.5893594256600281</v>
      </c>
      <c r="B22" s="1">
        <f>C$7*A22</f>
        <v>607.14875405280225</v>
      </c>
      <c r="C22" s="88">
        <f>B22*C$5/100</f>
        <v>0.24285950162112091</v>
      </c>
      <c r="D22" s="89"/>
      <c r="E22" s="90"/>
      <c r="F22" s="91">
        <f>F$21+C22</f>
        <v>6.2429938930220183</v>
      </c>
      <c r="G22" s="92"/>
      <c r="H22" s="27">
        <f t="shared" ref="H22:H24" si="12">F22/A22</f>
        <v>0.82259826460638086</v>
      </c>
      <c r="I22" s="1">
        <f>C$6*B22</f>
        <v>60.714875405280225</v>
      </c>
      <c r="J22" s="1">
        <f>F22*(I22+J$21)</f>
        <v>8919.6495350953555</v>
      </c>
      <c r="K22" s="27">
        <f t="shared" ref="K22:K24" si="13">J22/A22</f>
        <v>1175.2835825560646</v>
      </c>
    </row>
    <row r="23" spans="1:11" x14ac:dyDescent="0.3">
      <c r="A23" s="18">
        <f>'Passenger transport data'!I5</f>
        <v>23.865910143584994</v>
      </c>
      <c r="B23" s="1">
        <f t="shared" ref="B23:B24" si="14">C$7*A23</f>
        <v>1909.2728114867996</v>
      </c>
      <c r="C23" s="88">
        <f t="shared" ref="C23:C24" si="15">B23*C$5/100</f>
        <v>0.76370912459471985</v>
      </c>
      <c r="D23" s="89"/>
      <c r="E23" s="90"/>
      <c r="F23" s="88">
        <f>F$21+C23</f>
        <v>6.7638435159956174</v>
      </c>
      <c r="G23" s="90"/>
      <c r="H23" s="27">
        <f t="shared" si="12"/>
        <v>0.28341024814482912</v>
      </c>
      <c r="I23" s="1">
        <f t="shared" ref="I23:I24" si="16">C$6*B23</f>
        <v>190.92728114867998</v>
      </c>
      <c r="J23" s="1">
        <f t="shared" ref="J23:J24" si="17">F23*(I23+J$21)</f>
        <v>10544.547435054645</v>
      </c>
      <c r="K23" s="27">
        <f t="shared" si="13"/>
        <v>441.8246516313543</v>
      </c>
    </row>
    <row r="24" spans="1:11" x14ac:dyDescent="0.3">
      <c r="A24" s="18">
        <f>'Passenger transport data'!J5</f>
        <v>40.14246086150996</v>
      </c>
      <c r="B24" s="1">
        <f t="shared" si="14"/>
        <v>3211.3968689207968</v>
      </c>
      <c r="C24" s="88">
        <f t="shared" si="15"/>
        <v>1.2845587475683187</v>
      </c>
      <c r="D24" s="89"/>
      <c r="E24" s="90"/>
      <c r="F24" s="88">
        <f t="shared" ref="F24" si="18">F$21+C24</f>
        <v>7.2846931389692164</v>
      </c>
      <c r="G24" s="90"/>
      <c r="H24" s="27">
        <f t="shared" si="12"/>
        <v>0.18147101554389364</v>
      </c>
      <c r="I24" s="1">
        <f t="shared" si="16"/>
        <v>321.13968689207968</v>
      </c>
      <c r="J24" s="1">
        <f t="shared" si="17"/>
        <v>12305.087499889803</v>
      </c>
      <c r="K24" s="27">
        <f t="shared" si="13"/>
        <v>306.5354548726325</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6.0001343914008975</v>
      </c>
      <c r="G26" s="87"/>
      <c r="H26" s="30">
        <f>F26/A26</f>
        <v>6.0001343914008975</v>
      </c>
      <c r="I26" s="1">
        <v>0</v>
      </c>
      <c r="J26" s="1">
        <f>C$8*F26</f>
        <v>1521.9601422727985</v>
      </c>
      <c r="K26" s="30">
        <f>J26/A26</f>
        <v>1521.9601422727985</v>
      </c>
    </row>
    <row r="27" spans="1:11" x14ac:dyDescent="0.3">
      <c r="A27" s="18">
        <f>'Passenger transport data'!H5</f>
        <v>7.5893594256600281</v>
      </c>
      <c r="B27" s="1">
        <f>C$7*A27</f>
        <v>607.14875405280225</v>
      </c>
      <c r="C27" s="88">
        <f>B27*C$5/100</f>
        <v>0.24285950162112091</v>
      </c>
      <c r="D27" s="89"/>
      <c r="E27" s="90"/>
      <c r="F27" s="91">
        <f>F$26+C27</f>
        <v>6.2429938930220183</v>
      </c>
      <c r="G27" s="92"/>
      <c r="H27" s="27">
        <f>F27/A27</f>
        <v>0.82259826460638086</v>
      </c>
      <c r="I27" s="1">
        <f>C$6*B27</f>
        <v>60.714875405280225</v>
      </c>
      <c r="J27" s="1">
        <f>F27*(I27+J$26)</f>
        <v>9880.6304700027613</v>
      </c>
      <c r="K27" s="27">
        <f>J27/A27</f>
        <v>1301.9057229778607</v>
      </c>
    </row>
    <row r="28" spans="1:11" x14ac:dyDescent="0.3">
      <c r="A28" s="18">
        <f>'Passenger transport data'!I5</f>
        <v>23.865910143584994</v>
      </c>
      <c r="B28" s="1">
        <f t="shared" ref="B28:B29" si="19">C$7*A28</f>
        <v>1909.2728114867996</v>
      </c>
      <c r="C28" s="88">
        <f t="shared" ref="C28:C29" si="20">B28*C$5/100</f>
        <v>0.76370912459471985</v>
      </c>
      <c r="D28" s="89"/>
      <c r="E28" s="90"/>
      <c r="F28" s="91">
        <f t="shared" ref="F28:F29" si="21">F$26+C28</f>
        <v>6.7638435159956174</v>
      </c>
      <c r="G28" s="92"/>
      <c r="H28" s="27">
        <f t="shared" ref="H28:H29" si="22">F28/A28</f>
        <v>0.28341024814482912</v>
      </c>
      <c r="I28" s="1">
        <f t="shared" ref="I28:I29" si="23">C$6*B28</f>
        <v>190.92728114867998</v>
      </c>
      <c r="J28" s="1">
        <f t="shared" ref="J28:J29" si="24">F28*(I28+J$26)</f>
        <v>11585.702492539807</v>
      </c>
      <c r="K28" s="27">
        <f t="shared" ref="K28:K29" si="25">J28/A28</f>
        <v>485.44984971603822</v>
      </c>
    </row>
    <row r="29" spans="1:11" x14ac:dyDescent="0.3">
      <c r="A29" s="18">
        <f>'Passenger transport data'!J5</f>
        <v>40.14246086150996</v>
      </c>
      <c r="B29" s="1">
        <f t="shared" si="19"/>
        <v>3211.3968689207968</v>
      </c>
      <c r="C29" s="88">
        <f t="shared" si="20"/>
        <v>1.2845587475683187</v>
      </c>
      <c r="D29" s="89"/>
      <c r="E29" s="90"/>
      <c r="F29" s="91">
        <f t="shared" si="21"/>
        <v>7.2846931389692164</v>
      </c>
      <c r="G29" s="92"/>
      <c r="H29" s="27">
        <f t="shared" si="22"/>
        <v>0.18147101554389364</v>
      </c>
      <c r="I29" s="1">
        <f t="shared" si="23"/>
        <v>321.13968689207968</v>
      </c>
      <c r="J29" s="1">
        <f t="shared" si="24"/>
        <v>13426.416679952723</v>
      </c>
      <c r="K29" s="27">
        <f t="shared" si="25"/>
        <v>334.46919774732731</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6.0001343914008975</v>
      </c>
      <c r="G31" s="87"/>
      <c r="H31" s="30">
        <f>F31/A31</f>
        <v>6.0001343914008975</v>
      </c>
      <c r="I31" s="1">
        <v>0</v>
      </c>
      <c r="J31" s="1">
        <f>K$8*F31</f>
        <v>1489.4677893994817</v>
      </c>
      <c r="K31" s="30">
        <f>J31/A31</f>
        <v>1489.4677893994817</v>
      </c>
    </row>
    <row r="32" spans="1:11" x14ac:dyDescent="0.3">
      <c r="A32" s="18">
        <f>'Passenger transport data'!H5</f>
        <v>7.5893594256600281</v>
      </c>
      <c r="B32" s="1">
        <f>C$7*A32</f>
        <v>607.14875405280225</v>
      </c>
      <c r="C32" s="88">
        <f>B32*C$5/100</f>
        <v>0.24285950162112091</v>
      </c>
      <c r="D32" s="89"/>
      <c r="E32" s="90"/>
      <c r="F32" s="91">
        <f>F$31+C32</f>
        <v>6.2429938930220183</v>
      </c>
      <c r="G32" s="92"/>
      <c r="H32" s="27">
        <f>F32/A32</f>
        <v>0.82259826460638086</v>
      </c>
      <c r="I32" s="1">
        <f>C$6*B32</f>
        <v>60.714875405280225</v>
      </c>
      <c r="J32" s="1">
        <f>F32*(I32+J$31)</f>
        <v>9677.7809094447275</v>
      </c>
      <c r="K32" s="27">
        <f t="shared" ref="K32:K34" si="26">J32/A32</f>
        <v>1275.1775698912923</v>
      </c>
    </row>
    <row r="33" spans="1:11" x14ac:dyDescent="0.3">
      <c r="A33" s="18">
        <f>'Passenger transport data'!I5</f>
        <v>23.865910143584994</v>
      </c>
      <c r="B33" s="1">
        <f t="shared" ref="B33:B34" si="27">C$7*A33</f>
        <v>1909.2728114867996</v>
      </c>
      <c r="C33" s="88">
        <f t="shared" ref="C33:C34" si="28">B33*C$5/100</f>
        <v>0.76370912459471985</v>
      </c>
      <c r="D33" s="89"/>
      <c r="E33" s="90"/>
      <c r="F33" s="91">
        <f t="shared" ref="F33:F34" si="29">F$31+C33</f>
        <v>6.7638435159956174</v>
      </c>
      <c r="G33" s="92"/>
      <c r="H33" s="27">
        <f t="shared" ref="H33:H34" si="30">F33/A33</f>
        <v>0.28341024814482912</v>
      </c>
      <c r="I33" s="1">
        <f t="shared" ref="I33:I34" si="31">C$6*B33</f>
        <v>190.92728114867998</v>
      </c>
      <c r="J33" s="1">
        <f t="shared" ref="J33:J34" si="32">F33*(I33+J$31)</f>
        <v>11365.929302238181</v>
      </c>
      <c r="K33" s="27">
        <f t="shared" si="26"/>
        <v>476.24118392540208</v>
      </c>
    </row>
    <row r="34" spans="1:11" x14ac:dyDescent="0.3">
      <c r="A34" s="18">
        <f>'Passenger transport data'!J5</f>
        <v>40.14246086150996</v>
      </c>
      <c r="B34" s="1">
        <f t="shared" si="27"/>
        <v>3211.3968689207968</v>
      </c>
      <c r="C34" s="88">
        <f t="shared" si="28"/>
        <v>1.2845587475683187</v>
      </c>
      <c r="D34" s="89"/>
      <c r="E34" s="90"/>
      <c r="F34" s="91">
        <f t="shared" si="29"/>
        <v>7.2846931389692164</v>
      </c>
      <c r="G34" s="92"/>
      <c r="H34" s="27">
        <f t="shared" si="30"/>
        <v>0.18147101554389364</v>
      </c>
      <c r="I34" s="1">
        <f t="shared" si="31"/>
        <v>321.13968689207968</v>
      </c>
      <c r="J34" s="1">
        <f t="shared" si="32"/>
        <v>13189.719859907505</v>
      </c>
      <c r="K34" s="27">
        <f t="shared" si="26"/>
        <v>328.57277747399598</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251.02491599461339</v>
      </c>
      <c r="D8" s="22" t="s">
        <v>108</v>
      </c>
      <c r="E8" s="22" t="s">
        <v>147</v>
      </c>
      <c r="F8" s="22">
        <f>'Passenger transport data'!D15*10^3</f>
        <v>266.55202063628548</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0.65065057749157018</v>
      </c>
      <c r="G11" s="93"/>
      <c r="H11" s="27">
        <f>F11/A11</f>
        <v>0.65065057749157018</v>
      </c>
      <c r="I11" s="1">
        <v>0</v>
      </c>
      <c r="J11" s="1">
        <f>C$8*F11</f>
        <v>163.32950655666809</v>
      </c>
      <c r="K11" s="27">
        <f>J11/A11</f>
        <v>163.32950655666809</v>
      </c>
    </row>
    <row r="12" spans="1:11" x14ac:dyDescent="0.3">
      <c r="A12" s="1">
        <v>2</v>
      </c>
      <c r="B12" s="1">
        <f>B11+C$7</f>
        <v>80</v>
      </c>
      <c r="C12" s="87">
        <f>C$5*B12/100</f>
        <v>3.2000000000000001E-2</v>
      </c>
      <c r="D12" s="87"/>
      <c r="E12" s="87"/>
      <c r="F12" s="87">
        <f>F$11+C12</f>
        <v>0.68265057749157021</v>
      </c>
      <c r="G12" s="87"/>
      <c r="H12" s="27">
        <f t="shared" ref="H12:H15" si="0">F12/A12</f>
        <v>0.3413252887457851</v>
      </c>
      <c r="I12" s="1">
        <f>C$6*B12</f>
        <v>8</v>
      </c>
      <c r="J12" s="1">
        <f>F12*(I12+J$11)</f>
        <v>116.95818659225525</v>
      </c>
      <c r="K12" s="27">
        <f t="shared" ref="K12:K15" si="1">J12/A12</f>
        <v>58.479093296127623</v>
      </c>
    </row>
    <row r="13" spans="1:11" x14ac:dyDescent="0.3">
      <c r="A13" s="1">
        <v>3</v>
      </c>
      <c r="B13" s="1">
        <f t="shared" ref="B13:B15" si="2">B12+C$7</f>
        <v>160</v>
      </c>
      <c r="C13" s="87">
        <f>C$5*B13/100</f>
        <v>6.4000000000000001E-2</v>
      </c>
      <c r="D13" s="87"/>
      <c r="E13" s="87"/>
      <c r="F13" s="87">
        <f t="shared" ref="F13:F15" si="3">F$11+C13</f>
        <v>0.71465057749157013</v>
      </c>
      <c r="G13" s="87"/>
      <c r="H13" s="27">
        <f t="shared" si="0"/>
        <v>0.23821685916385671</v>
      </c>
      <c r="I13" s="1">
        <f t="shared" ref="I13:I15" si="4">C$6*B13</f>
        <v>16</v>
      </c>
      <c r="J13" s="1">
        <f t="shared" ref="J13:J15" si="5">F13*(I13+J$11)</f>
        <v>128.15793542200117</v>
      </c>
      <c r="K13" s="27">
        <f t="shared" si="1"/>
        <v>42.719311807333725</v>
      </c>
    </row>
    <row r="14" spans="1:11" x14ac:dyDescent="0.3">
      <c r="A14" s="1">
        <v>4</v>
      </c>
      <c r="B14" s="1">
        <f t="shared" si="2"/>
        <v>240</v>
      </c>
      <c r="C14" s="87">
        <f>C$5*B14/100</f>
        <v>9.6000000000000002E-2</v>
      </c>
      <c r="D14" s="87"/>
      <c r="E14" s="87"/>
      <c r="F14" s="87">
        <f t="shared" si="3"/>
        <v>0.74665057749157016</v>
      </c>
      <c r="G14" s="87"/>
      <c r="H14" s="27">
        <f t="shared" si="0"/>
        <v>0.18666264437289254</v>
      </c>
      <c r="I14" s="1">
        <f t="shared" si="4"/>
        <v>24</v>
      </c>
      <c r="J14" s="1">
        <f t="shared" si="5"/>
        <v>139.86968425174712</v>
      </c>
      <c r="K14" s="27">
        <f t="shared" si="1"/>
        <v>34.967421062936779</v>
      </c>
    </row>
    <row r="15" spans="1:11" x14ac:dyDescent="0.3">
      <c r="A15" s="1">
        <v>5</v>
      </c>
      <c r="B15" s="1">
        <f t="shared" si="2"/>
        <v>320</v>
      </c>
      <c r="C15" s="87">
        <f>C$5*B15/100</f>
        <v>0.128</v>
      </c>
      <c r="D15" s="87"/>
      <c r="E15" s="87"/>
      <c r="F15" s="87">
        <f t="shared" si="3"/>
        <v>0.77865057749157018</v>
      </c>
      <c r="G15" s="87"/>
      <c r="H15" s="27">
        <f t="shared" si="0"/>
        <v>0.15573011549831403</v>
      </c>
      <c r="I15" s="1">
        <f t="shared" si="4"/>
        <v>32</v>
      </c>
      <c r="J15" s="1">
        <f t="shared" si="5"/>
        <v>152.09343308149306</v>
      </c>
      <c r="K15" s="27">
        <f t="shared" si="1"/>
        <v>30.418686616298611</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0.39566735299686956</v>
      </c>
      <c r="G17" s="93"/>
      <c r="H17" s="27">
        <f>F17/A17</f>
        <v>0.39566735299686956</v>
      </c>
      <c r="I17" s="1">
        <v>0</v>
      </c>
      <c r="J17" s="1">
        <f>C$8*F17</f>
        <v>99.322364047850229</v>
      </c>
      <c r="K17" s="27">
        <f>J17/A17</f>
        <v>99.322364047850229</v>
      </c>
    </row>
    <row r="18" spans="1:11" x14ac:dyDescent="0.3">
      <c r="A18" s="1">
        <v>2</v>
      </c>
      <c r="B18" s="1">
        <f>C7+B17</f>
        <v>80</v>
      </c>
      <c r="C18" s="87">
        <f>C$5*B18/100</f>
        <v>3.2000000000000001E-2</v>
      </c>
      <c r="D18" s="87"/>
      <c r="E18" s="87"/>
      <c r="F18" s="87">
        <f>F17+C18</f>
        <v>0.42766735299686953</v>
      </c>
      <c r="G18" s="87"/>
      <c r="H18" s="27">
        <f>F18/A18</f>
        <v>0.21383367649843477</v>
      </c>
      <c r="I18" s="1">
        <f>C6*B18</f>
        <v>8</v>
      </c>
      <c r="J18" s="1">
        <f>F18*(I18+J17)</f>
        <v>45.898271349710505</v>
      </c>
      <c r="K18" s="27">
        <f>J18/A18</f>
        <v>22.949135674855253</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6.0001343914008975</v>
      </c>
      <c r="G20" s="95"/>
      <c r="H20" s="30">
        <f>F20/A20</f>
        <v>6.0001343914008975</v>
      </c>
      <c r="I20" s="1">
        <v>0</v>
      </c>
      <c r="J20" s="1">
        <f>C$8*F20</f>
        <v>1506.183231557801</v>
      </c>
      <c r="K20" s="1">
        <f>J20/A20</f>
        <v>1506.183231557801</v>
      </c>
    </row>
    <row r="21" spans="1:11" x14ac:dyDescent="0.3">
      <c r="A21" s="18">
        <f>'Passenger transport data'!H5</f>
        <v>7.5893594256600281</v>
      </c>
      <c r="B21" s="1">
        <f>C$7*A21</f>
        <v>607.14875405280225</v>
      </c>
      <c r="C21" s="88">
        <f>B21*C$5/100</f>
        <v>0.24285950162112091</v>
      </c>
      <c r="D21" s="89"/>
      <c r="E21" s="90"/>
      <c r="F21" s="96">
        <f>F$20+C21</f>
        <v>6.2429938930220183</v>
      </c>
      <c r="G21" s="97"/>
      <c r="H21" s="27">
        <f t="shared" ref="H21:H23" si="6">F21/A21</f>
        <v>0.82259826460638086</v>
      </c>
      <c r="I21" s="1">
        <f>C$6*B21</f>
        <v>60.714875405280225</v>
      </c>
      <c r="J21" s="1">
        <f>F21*(I21+J$20)</f>
        <v>9782.1353127582788</v>
      </c>
      <c r="K21" s="27">
        <f t="shared" ref="K21:K23" si="7">J21/A21</f>
        <v>1288.9276636028542</v>
      </c>
    </row>
    <row r="22" spans="1:11" x14ac:dyDescent="0.3">
      <c r="A22" s="18">
        <f>'Passenger transport data'!I5</f>
        <v>23.865910143584994</v>
      </c>
      <c r="B22" s="1">
        <f t="shared" ref="B22:B23" si="8">C$7*A22</f>
        <v>1909.2728114867996</v>
      </c>
      <c r="C22" s="88">
        <f t="shared" ref="C22:C23" si="9">B22*C$5/100</f>
        <v>0.76370912459471985</v>
      </c>
      <c r="D22" s="89"/>
      <c r="E22" s="90"/>
      <c r="F22" s="88">
        <f>F$20+C22</f>
        <v>6.7638435159956174</v>
      </c>
      <c r="G22" s="90"/>
      <c r="H22" s="27">
        <f t="shared" si="6"/>
        <v>0.28341024814482912</v>
      </c>
      <c r="I22" s="1">
        <f t="shared" ref="I22:I23" si="10">C$6*B22</f>
        <v>190.92728114867998</v>
      </c>
      <c r="J22" s="1">
        <f t="shared" ref="J22:J23" si="11">F22*(I22+J$20)</f>
        <v>11478.989937297731</v>
      </c>
      <c r="K22" s="27">
        <f t="shared" si="7"/>
        <v>480.97851153534202</v>
      </c>
    </row>
    <row r="23" spans="1:11" x14ac:dyDescent="0.3">
      <c r="A23" s="18">
        <f>'Passenger transport data'!J5</f>
        <v>40.14246086150996</v>
      </c>
      <c r="B23" s="1">
        <f t="shared" si="8"/>
        <v>3211.3968689207968</v>
      </c>
      <c r="C23" s="88">
        <f t="shared" si="9"/>
        <v>1.2845587475683187</v>
      </c>
      <c r="D23" s="89"/>
      <c r="E23" s="90"/>
      <c r="F23" s="88">
        <f t="shared" ref="F23" si="12">F$20+C23</f>
        <v>7.2846931389692164</v>
      </c>
      <c r="G23" s="90"/>
      <c r="H23" s="27">
        <f t="shared" si="6"/>
        <v>0.18147101554389364</v>
      </c>
      <c r="I23" s="1">
        <f t="shared" si="10"/>
        <v>321.13968689207968</v>
      </c>
      <c r="J23" s="1">
        <f t="shared" si="11"/>
        <v>13311.48672671305</v>
      </c>
      <c r="K23" s="27">
        <f t="shared" si="7"/>
        <v>331.60614573773137</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5124.3000000000011</v>
      </c>
      <c r="K25" s="30">
        <f>J25/A25</f>
        <v>5124.3000000000011</v>
      </c>
    </row>
    <row r="26" spans="1:11" x14ac:dyDescent="0.3">
      <c r="A26" s="37">
        <f>'Passenger transport data'!H7</f>
        <v>40.088507981640419</v>
      </c>
      <c r="B26" s="1">
        <f>C$7*A26</f>
        <v>3207.0806385312335</v>
      </c>
      <c r="C26" s="88">
        <f>B26*C$5/100</f>
        <v>1.2828322554124936</v>
      </c>
      <c r="D26" s="89"/>
      <c r="E26" s="90"/>
      <c r="F26" s="91">
        <f>F$25+C26</f>
        <v>20.507222255412497</v>
      </c>
      <c r="G26" s="92"/>
      <c r="H26" s="27">
        <f t="shared" ref="H26:H28" si="13">F26/A26</f>
        <v>0.51154865291580109</v>
      </c>
      <c r="I26" s="1">
        <f>C$6*B26</f>
        <v>320.70806385312335</v>
      </c>
      <c r="J26" s="1">
        <f>F26*(I26+J$25)</f>
        <v>111661.9905479493</v>
      </c>
      <c r="K26" s="27">
        <f t="shared" ref="K26:K28" si="14">J26/A26</f>
        <v>2785.3865401797402</v>
      </c>
    </row>
    <row r="27" spans="1:11" x14ac:dyDescent="0.3">
      <c r="A27" s="37">
        <f>'Passenger transport data'!I7</f>
        <v>126.06449050830319</v>
      </c>
      <c r="B27" s="1">
        <f t="shared" ref="B27" si="15">C$7*A27</f>
        <v>10085.159240664256</v>
      </c>
      <c r="C27" s="88">
        <f t="shared" ref="C27:C28" si="16">B27*C$5/100</f>
        <v>4.0340636962657026</v>
      </c>
      <c r="D27" s="89"/>
      <c r="E27" s="90"/>
      <c r="F27" s="91">
        <f t="shared" ref="F27:F28" si="17">F$25+C27</f>
        <v>23.258453696265704</v>
      </c>
      <c r="G27" s="92"/>
      <c r="H27" s="27">
        <f t="shared" si="13"/>
        <v>0.18449647162722474</v>
      </c>
      <c r="I27" s="1">
        <f t="shared" ref="I27" si="18">C$6*B27</f>
        <v>1008.5159240664257</v>
      </c>
      <c r="J27" s="1">
        <f t="shared" ref="J27:J28" si="19">F27*(I27+J$25)</f>
        <v>142639.81519761993</v>
      </c>
      <c r="K27" s="27">
        <f t="shared" si="14"/>
        <v>1131.4828991295135</v>
      </c>
    </row>
    <row r="28" spans="1:11" x14ac:dyDescent="0.3">
      <c r="A28" s="37">
        <f>'Passenger transport data'!J7</f>
        <v>212.04047303496594</v>
      </c>
      <c r="B28" s="1">
        <f>C$7*A28</f>
        <v>16963.237842797276</v>
      </c>
      <c r="C28" s="88">
        <f t="shared" si="16"/>
        <v>6.7852951371189105</v>
      </c>
      <c r="D28" s="89"/>
      <c r="E28" s="90"/>
      <c r="F28" s="91">
        <f t="shared" si="17"/>
        <v>26.009685137118915</v>
      </c>
      <c r="G28" s="92"/>
      <c r="H28" s="27">
        <f t="shared" si="13"/>
        <v>0.12266377623497313</v>
      </c>
      <c r="I28" s="1">
        <f>C$6*B28</f>
        <v>1696.3237842797278</v>
      </c>
      <c r="J28" s="1">
        <f t="shared" si="19"/>
        <v>177402.27706786024</v>
      </c>
      <c r="K28" s="27">
        <f t="shared" si="14"/>
        <v>836.64346965782431</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251.02491599461339</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212</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0.30374036849832436</v>
      </c>
      <c r="G11" s="93"/>
      <c r="H11" s="27">
        <f>F11/A11</f>
        <v>0.30374036849832436</v>
      </c>
      <c r="I11" s="1">
        <v>0</v>
      </c>
      <c r="J11" s="1">
        <f>C$8*F11</f>
        <v>64.392958121644767</v>
      </c>
      <c r="K11" s="27">
        <f>J11/A11</f>
        <v>64.392958121644767</v>
      </c>
    </row>
    <row r="12" spans="1:11" x14ac:dyDescent="0.3">
      <c r="A12" s="1">
        <v>2</v>
      </c>
      <c r="B12" s="1">
        <f>B11+C$7</f>
        <v>70</v>
      </c>
      <c r="C12" s="87">
        <f t="shared" ref="C12:C15" si="0">C$4*B12/100</f>
        <v>5.9500000000000004E-3</v>
      </c>
      <c r="D12" s="87"/>
      <c r="E12" s="87"/>
      <c r="F12" s="87">
        <f>F$11+C12</f>
        <v>0.30969036849832438</v>
      </c>
      <c r="G12" s="87"/>
      <c r="H12" s="27">
        <f t="shared" ref="H12:H15" si="1">F12/A12</f>
        <v>0.15484518424916219</v>
      </c>
      <c r="I12" s="1">
        <f>C$6*B12</f>
        <v>1.9599999999999997</v>
      </c>
      <c r="J12" s="1">
        <f>F12*(I12+J$11)</f>
        <v>20.54887205164605</v>
      </c>
      <c r="K12" s="27">
        <f t="shared" ref="K12:K15" si="2">J12/A12</f>
        <v>10.274436025823025</v>
      </c>
    </row>
    <row r="13" spans="1:11" x14ac:dyDescent="0.3">
      <c r="A13" s="1">
        <v>3</v>
      </c>
      <c r="B13" s="1">
        <f t="shared" ref="B13:B15" si="3">B12+C$7</f>
        <v>140</v>
      </c>
      <c r="C13" s="87">
        <f t="shared" si="0"/>
        <v>1.1900000000000001E-2</v>
      </c>
      <c r="D13" s="87"/>
      <c r="E13" s="87"/>
      <c r="F13" s="87">
        <f t="shared" ref="F13:F15" si="4">F$11+C13</f>
        <v>0.31564036849832439</v>
      </c>
      <c r="G13" s="87"/>
      <c r="H13" s="27">
        <f t="shared" si="1"/>
        <v>0.10521345616610812</v>
      </c>
      <c r="I13" s="1">
        <f t="shared" ref="I13:I15" si="5">C$6*B13</f>
        <v>3.9199999999999995</v>
      </c>
      <c r="J13" s="1">
        <f t="shared" ref="J13:J15" si="6">F13*(I13+J$11)</f>
        <v>21.562327274726556</v>
      </c>
      <c r="K13" s="27">
        <f t="shared" si="2"/>
        <v>7.187442424908852</v>
      </c>
    </row>
    <row r="14" spans="1:11" x14ac:dyDescent="0.3">
      <c r="A14" s="1">
        <v>4</v>
      </c>
      <c r="B14" s="1">
        <f t="shared" si="3"/>
        <v>210</v>
      </c>
      <c r="C14" s="87">
        <f t="shared" si="0"/>
        <v>1.7850000000000001E-2</v>
      </c>
      <c r="D14" s="87"/>
      <c r="E14" s="87"/>
      <c r="F14" s="87">
        <f t="shared" si="4"/>
        <v>0.32159036849832434</v>
      </c>
      <c r="G14" s="87"/>
      <c r="H14" s="27">
        <f t="shared" si="1"/>
        <v>8.0397592124581085E-2</v>
      </c>
      <c r="I14" s="1">
        <f t="shared" si="5"/>
        <v>5.879999999999999</v>
      </c>
      <c r="J14" s="1">
        <f t="shared" si="6"/>
        <v>22.599106497807053</v>
      </c>
      <c r="K14" s="27">
        <f t="shared" si="2"/>
        <v>5.6497766244517633</v>
      </c>
    </row>
    <row r="15" spans="1:11" x14ac:dyDescent="0.3">
      <c r="A15" s="1">
        <v>5</v>
      </c>
      <c r="B15" s="1">
        <f t="shared" si="3"/>
        <v>280</v>
      </c>
      <c r="C15" s="87">
        <f t="shared" si="0"/>
        <v>2.3800000000000002E-2</v>
      </c>
      <c r="D15" s="87"/>
      <c r="E15" s="87"/>
      <c r="F15" s="87">
        <f t="shared" si="4"/>
        <v>0.32754036849832435</v>
      </c>
      <c r="G15" s="87"/>
      <c r="H15" s="27">
        <f t="shared" si="1"/>
        <v>6.5508073699664868E-2</v>
      </c>
      <c r="I15" s="1">
        <f t="shared" si="5"/>
        <v>7.839999999999999</v>
      </c>
      <c r="J15" s="1">
        <f t="shared" si="6"/>
        <v>23.65920972088756</v>
      </c>
      <c r="K15" s="27">
        <f t="shared" si="2"/>
        <v>4.7318419441775124</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0.57807707474963577</v>
      </c>
      <c r="G17" s="95"/>
      <c r="H17" s="27">
        <f>F17/A17</f>
        <v>0.57807707474963577</v>
      </c>
      <c r="I17" s="1">
        <v>0</v>
      </c>
      <c r="J17" s="1">
        <f>F17*(0.5*C$8+0.5*F$6)</f>
        <v>133.83204448718098</v>
      </c>
      <c r="K17" s="27">
        <f>J17/A17</f>
        <v>133.83204448718098</v>
      </c>
    </row>
    <row r="18" spans="1:11" x14ac:dyDescent="0.3">
      <c r="A18" s="1">
        <v>2</v>
      </c>
      <c r="B18" s="1">
        <f>C$7+B17</f>
        <v>70</v>
      </c>
      <c r="C18" s="88">
        <f>B18*(0.5*C$4+0.5*'Transport c&amp;e fuel vehicles'!C$5)/100</f>
        <v>1.6975000000000001E-2</v>
      </c>
      <c r="D18" s="89"/>
      <c r="E18" s="90"/>
      <c r="F18" s="88">
        <f>F$17+C18</f>
        <v>0.59505207474963573</v>
      </c>
      <c r="G18" s="90"/>
      <c r="H18" s="27">
        <f t="shared" ref="H18:H21" si="7">F18/A18</f>
        <v>0.29752603737481786</v>
      </c>
      <c r="I18" s="1">
        <f>B18*(0.5*C$6+0.5*'Transport c&amp;e fuel vehicles'!C$6)/100</f>
        <v>4.4800000000000006E-2</v>
      </c>
      <c r="J18" s="1">
        <f>F18*(I18+J$17)</f>
        <v>79.66369407303138</v>
      </c>
      <c r="K18" s="27">
        <f t="shared" ref="K18:K21" si="8">J18/A18</f>
        <v>39.83184703651569</v>
      </c>
    </row>
    <row r="19" spans="1:11" x14ac:dyDescent="0.3">
      <c r="A19" s="1">
        <v>3</v>
      </c>
      <c r="B19" s="1">
        <f t="shared" ref="B19:B21" si="9">C$7+B18</f>
        <v>140</v>
      </c>
      <c r="C19" s="88">
        <f>B19*(0.5*C$4+0.5*'Transport c&amp;e fuel vehicles'!C$5)/100</f>
        <v>3.3950000000000001E-2</v>
      </c>
      <c r="D19" s="89"/>
      <c r="E19" s="90"/>
      <c r="F19" s="88">
        <f t="shared" ref="F19:F21" si="10">F$17+C19</f>
        <v>0.6120270747496358</v>
      </c>
      <c r="G19" s="90"/>
      <c r="H19" s="27">
        <f t="shared" si="7"/>
        <v>0.20400902491654527</v>
      </c>
      <c r="I19" s="1">
        <f>B19*(0.5*C$6+0.5*'Transport c&amp;e fuel vehicles'!C$6)/100</f>
        <v>8.9600000000000013E-2</v>
      </c>
      <c r="J19" s="1">
        <f t="shared" ref="J19:J21" si="11">F19*(I19+J$17)</f>
        <v>81.963672321150057</v>
      </c>
      <c r="K19" s="27">
        <f t="shared" si="8"/>
        <v>27.321224107050018</v>
      </c>
    </row>
    <row r="20" spans="1:11" x14ac:dyDescent="0.3">
      <c r="A20" s="1">
        <v>4</v>
      </c>
      <c r="B20" s="1">
        <f t="shared" si="9"/>
        <v>210</v>
      </c>
      <c r="C20" s="88">
        <f>B20*(0.5*C$4+0.5*'Transport c&amp;e fuel vehicles'!C$5)/100</f>
        <v>5.0925000000000005E-2</v>
      </c>
      <c r="D20" s="89"/>
      <c r="E20" s="90"/>
      <c r="F20" s="88">
        <f t="shared" si="10"/>
        <v>0.62900207474963576</v>
      </c>
      <c r="G20" s="90"/>
      <c r="H20" s="27">
        <f t="shared" si="7"/>
        <v>0.15725051868740894</v>
      </c>
      <c r="I20" s="1">
        <f>B20*(0.5*C$6+0.5*'Transport c&amp;e fuel vehicles'!C$6)/100</f>
        <v>0.13439999999999999</v>
      </c>
      <c r="J20" s="1">
        <f t="shared" si="11"/>
        <v>84.265171529268741</v>
      </c>
      <c r="K20" s="27">
        <f t="shared" si="8"/>
        <v>21.066292882317185</v>
      </c>
    </row>
    <row r="21" spans="1:11" x14ac:dyDescent="0.3">
      <c r="A21" s="1">
        <v>5</v>
      </c>
      <c r="B21" s="1">
        <f t="shared" si="9"/>
        <v>280</v>
      </c>
      <c r="C21" s="88">
        <f>B21*(0.5*C$4+0.5*'Transport c&amp;e fuel vehicles'!C$5)/100</f>
        <v>6.7900000000000002E-2</v>
      </c>
      <c r="D21" s="89"/>
      <c r="E21" s="90"/>
      <c r="F21" s="88">
        <f t="shared" si="10"/>
        <v>0.64597707474963573</v>
      </c>
      <c r="G21" s="90"/>
      <c r="H21" s="27">
        <f t="shared" si="7"/>
        <v>0.12919541494992715</v>
      </c>
      <c r="I21" s="1">
        <f>B21*(0.5*C$6+0.5*'Transport c&amp;e fuel vehicles'!C$6)/100</f>
        <v>0.17920000000000003</v>
      </c>
      <c r="J21" s="1">
        <f t="shared" si="11"/>
        <v>86.568191697387419</v>
      </c>
      <c r="K21" s="27">
        <f t="shared" si="8"/>
        <v>17.313638339477485</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0.12290889329932196</v>
      </c>
      <c r="G23" s="93"/>
      <c r="H23" s="27">
        <f>F23/A23</f>
        <v>0.12290889329932196</v>
      </c>
      <c r="I23" s="1">
        <v>0</v>
      </c>
      <c r="J23" s="1">
        <f>C$8*F23</f>
        <v>26.056685379456255</v>
      </c>
      <c r="K23" s="27">
        <f>J23/A23</f>
        <v>26.056685379456255</v>
      </c>
    </row>
    <row r="24" spans="1:11" x14ac:dyDescent="0.3">
      <c r="A24" s="1">
        <v>2</v>
      </c>
      <c r="B24" s="1">
        <f>C7+B23</f>
        <v>70</v>
      </c>
      <c r="C24" s="87">
        <f>C$5*B24/100</f>
        <v>0</v>
      </c>
      <c r="D24" s="87"/>
      <c r="E24" s="87"/>
      <c r="F24" s="87">
        <f>F23+C24</f>
        <v>0.12290889329932196</v>
      </c>
      <c r="G24" s="87"/>
      <c r="H24" s="27">
        <f>F24/A24</f>
        <v>6.1454446649660981E-2</v>
      </c>
      <c r="I24" s="1">
        <f>C6*B24</f>
        <v>1.9599999999999997</v>
      </c>
      <c r="J24" s="1">
        <f>F24*(I24+J23)</f>
        <v>3.4434997939042624</v>
      </c>
      <c r="K24" s="27">
        <f>J24/A24</f>
        <v>1.7217498969521312</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1.1037077343689113E-2</v>
      </c>
      <c r="G26" s="95"/>
      <c r="H26" s="27">
        <f>F26/A26</f>
        <v>1.1037077343689113E-2</v>
      </c>
      <c r="I26" s="1">
        <v>0</v>
      </c>
      <c r="J26" s="1">
        <f>C$8*F26</f>
        <v>2.3398603968620919</v>
      </c>
      <c r="K26" s="27">
        <f>J26/A26</f>
        <v>2.3398603968620919</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2.3928383681117996E-2</v>
      </c>
      <c r="G28" s="95"/>
      <c r="H28" s="27">
        <f>F28/A28</f>
        <v>2.3928383681117996E-2</v>
      </c>
      <c r="I28" s="1">
        <v>0</v>
      </c>
      <c r="J28" s="1">
        <f>C$8*F28</f>
        <v>5.0728173403970152</v>
      </c>
      <c r="K28" s="27">
        <f>J28/A28</f>
        <v>5.0728173403970152</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5.4236692649685621</v>
      </c>
      <c r="G30" s="95"/>
      <c r="H30" s="2">
        <f>F30/A30</f>
        <v>5.4236692649685621</v>
      </c>
      <c r="I30" s="1">
        <v>0</v>
      </c>
      <c r="J30" s="1">
        <f>C$8*F30</f>
        <v>1149.8178841733352</v>
      </c>
      <c r="K30" s="27">
        <f>J30/A30</f>
        <v>1149.8178841733352</v>
      </c>
    </row>
    <row r="31" spans="1:11" x14ac:dyDescent="0.3">
      <c r="A31" s="18">
        <f>'Passenger transport data'!H6</f>
        <v>24.13717596867555</v>
      </c>
      <c r="B31" s="1">
        <f>C$7*A31</f>
        <v>1689.6023178072885</v>
      </c>
      <c r="C31" s="88">
        <f t="shared" ref="C31:C33" si="12">C$4*B31/100</f>
        <v>0.14361619701361952</v>
      </c>
      <c r="D31" s="89"/>
      <c r="E31" s="90"/>
      <c r="F31" s="88">
        <f>F$30+C31</f>
        <v>5.5672854619821814</v>
      </c>
      <c r="G31" s="90"/>
      <c r="H31" s="27">
        <f t="shared" ref="H31:H33" si="13">F31/A31</f>
        <v>0.23065189851568491</v>
      </c>
      <c r="I31" s="1">
        <f>C$6*B31</f>
        <v>47.308864898604071</v>
      </c>
      <c r="J31" s="1">
        <f>F31*(I31+J$30)</f>
        <v>6664.7463462581982</v>
      </c>
      <c r="K31" s="27">
        <f t="shared" ref="K31:K33" si="14">J31/A31</f>
        <v>276.11955743735274</v>
      </c>
    </row>
    <row r="32" spans="1:11" x14ac:dyDescent="0.3">
      <c r="A32" s="18">
        <f>'Passenger transport data'!I6</f>
        <v>75.903069083885384</v>
      </c>
      <c r="B32" s="1">
        <f>C$7*A32</f>
        <v>5313.2148358719769</v>
      </c>
      <c r="C32" s="88">
        <f t="shared" si="12"/>
        <v>0.45162326104911804</v>
      </c>
      <c r="D32" s="89"/>
      <c r="E32" s="90"/>
      <c r="F32" s="88">
        <f t="shared" ref="F32:F33" si="15">F$30+C32</f>
        <v>5.87529252601768</v>
      </c>
      <c r="G32" s="90"/>
      <c r="H32" s="27">
        <f t="shared" si="13"/>
        <v>7.7405203727987801E-2</v>
      </c>
      <c r="I32" s="1">
        <f t="shared" ref="I32:I33" si="16">C$6*B32</f>
        <v>148.77001540441535</v>
      </c>
      <c r="J32" s="1">
        <f t="shared" ref="J32:J33" si="17">F32*(I32+J$30)</f>
        <v>7629.5837807661546</v>
      </c>
      <c r="K32" s="27">
        <f t="shared" si="14"/>
        <v>100.51746092551552</v>
      </c>
    </row>
    <row r="33" spans="1:11" x14ac:dyDescent="0.3">
      <c r="A33" s="18">
        <f>'Passenger transport data'!J6</f>
        <v>127.6689621990952</v>
      </c>
      <c r="B33" s="1">
        <f>C$7*A33</f>
        <v>8936.8273539366637</v>
      </c>
      <c r="C33" s="88">
        <f t="shared" si="12"/>
        <v>0.75963032508461648</v>
      </c>
      <c r="D33" s="89"/>
      <c r="E33" s="90"/>
      <c r="F33" s="88">
        <f t="shared" si="15"/>
        <v>6.1832995900531786</v>
      </c>
      <c r="G33" s="90"/>
      <c r="H33" s="27">
        <f t="shared" si="13"/>
        <v>4.8432285212834603E-2</v>
      </c>
      <c r="I33" s="1">
        <f t="shared" si="16"/>
        <v>250.23116591022657</v>
      </c>
      <c r="J33" s="1">
        <f t="shared" si="17"/>
        <v>8656.9227174360294</v>
      </c>
      <c r="K33" s="27">
        <f t="shared" si="14"/>
        <v>67.807574905605222</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23.391349307243367</v>
      </c>
      <c r="G35" s="95"/>
      <c r="H35" s="2">
        <f>F35/A35</f>
        <v>23.391349307243367</v>
      </c>
      <c r="I35" s="1">
        <v>0</v>
      </c>
      <c r="J35" s="34">
        <f>C$8*F35</f>
        <v>4958.9660531355939</v>
      </c>
      <c r="K35" s="27">
        <f>J35/A35</f>
        <v>4958.9660531355939</v>
      </c>
    </row>
    <row r="36" spans="1:11" x14ac:dyDescent="0.3">
      <c r="A36" s="18">
        <f>'Passenger transport data'!H7</f>
        <v>40.088507981640419</v>
      </c>
      <c r="B36" s="1">
        <f>C$7*A36</f>
        <v>2806.1955587148295</v>
      </c>
      <c r="C36" s="88">
        <f t="shared" ref="C36:C38" si="18">C$4*B36/100</f>
        <v>0.23852662249076054</v>
      </c>
      <c r="D36" s="89"/>
      <c r="E36" s="90"/>
      <c r="F36" s="88">
        <f>F$35+C36</f>
        <v>23.629875929734126</v>
      </c>
      <c r="G36" s="90"/>
      <c r="H36" s="27">
        <f t="shared" ref="H36:H38" si="19">F36/A36</f>
        <v>0.58944263878705705</v>
      </c>
      <c r="I36" s="1">
        <f>C$6*B36</f>
        <v>78.573475644015218</v>
      </c>
      <c r="J36" s="34">
        <f>F36*(I36+J$35)</f>
        <v>119036.43405619348</v>
      </c>
      <c r="K36" s="27">
        <f t="shared" ref="K36:K38" si="20">J36/A36</f>
        <v>2969.3405928379607</v>
      </c>
    </row>
    <row r="37" spans="1:11" x14ac:dyDescent="0.3">
      <c r="A37" s="18">
        <f>'Passenger transport data'!I7</f>
        <v>126.06449050830319</v>
      </c>
      <c r="B37" s="1">
        <f t="shared" ref="B37:B38" si="21">C$7*A37</f>
        <v>8824.5143355812233</v>
      </c>
      <c r="C37" s="88">
        <f t="shared" si="18"/>
        <v>0.75008371852440403</v>
      </c>
      <c r="D37" s="89"/>
      <c r="E37" s="90"/>
      <c r="F37" s="88">
        <f t="shared" ref="F37:F38" si="22">F$35+C37</f>
        <v>24.141433025767771</v>
      </c>
      <c r="G37" s="90"/>
      <c r="H37" s="27">
        <f t="shared" si="19"/>
        <v>0.19150065913428416</v>
      </c>
      <c r="I37" s="1">
        <f t="shared" ref="I37:I38" si="23">C$6*B37</f>
        <v>247.08640139627423</v>
      </c>
      <c r="J37" s="34">
        <f t="shared" ref="J37:J38" si="24">F37*(I37+J$35)</f>
        <v>125681.56665971501</v>
      </c>
      <c r="K37" s="27">
        <f t="shared" si="20"/>
        <v>996.96247653051068</v>
      </c>
    </row>
    <row r="38" spans="1:11" x14ac:dyDescent="0.3">
      <c r="A38" s="18">
        <f>'Passenger transport data'!J7</f>
        <v>212.04047303496594</v>
      </c>
      <c r="B38" s="1">
        <f t="shared" si="21"/>
        <v>14842.833112447615</v>
      </c>
      <c r="C38" s="88">
        <f t="shared" si="18"/>
        <v>1.2616408145580473</v>
      </c>
      <c r="D38" s="89"/>
      <c r="E38" s="90"/>
      <c r="F38" s="88">
        <f t="shared" si="22"/>
        <v>24.652990121801412</v>
      </c>
      <c r="G38" s="90"/>
      <c r="H38" s="27">
        <f t="shared" si="19"/>
        <v>0.11626549294547216</v>
      </c>
      <c r="I38" s="1">
        <f t="shared" si="23"/>
        <v>415.59932714853318</v>
      </c>
      <c r="J38" s="34">
        <f t="shared" si="24"/>
        <v>132499.10722912045</v>
      </c>
      <c r="K38" s="27">
        <f t="shared" si="20"/>
        <v>624.87649330640318</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31.136083230829396</v>
      </c>
      <c r="G40" s="95"/>
      <c r="H40" s="1">
        <f>F40/A40</f>
        <v>31.136083230829396</v>
      </c>
      <c r="I40" s="1">
        <v>0</v>
      </c>
      <c r="J40" s="1">
        <f>C$8*F40</f>
        <v>6600.8496449358317</v>
      </c>
      <c r="K40" s="1">
        <f>J40/A40</f>
        <v>6600.8496449358317</v>
      </c>
    </row>
    <row r="41" spans="1:11" x14ac:dyDescent="0.3">
      <c r="A41" s="18">
        <f>'Passenger transport data'!H8</f>
        <v>89.652367883652062</v>
      </c>
      <c r="B41" s="1">
        <f>C$7*A41</f>
        <v>6275.665751855644</v>
      </c>
      <c r="C41" s="88">
        <f t="shared" ref="C41:C43" si="25">B41*C$4/100</f>
        <v>0.53343158890772979</v>
      </c>
      <c r="D41" s="89"/>
      <c r="E41" s="90"/>
      <c r="F41" s="88">
        <f>F$40+C41</f>
        <v>31.669514819737124</v>
      </c>
      <c r="G41" s="90"/>
      <c r="H41" s="27">
        <f t="shared" ref="H41:H43" si="26">F41/A41</f>
        <v>0.35324794612047272</v>
      </c>
      <c r="I41" s="1">
        <f>C$6*B41</f>
        <v>175.718641051958</v>
      </c>
      <c r="J41" s="1">
        <f>F41*(I41+J$40)</f>
        <v>214610.62976005091</v>
      </c>
      <c r="K41" s="27">
        <f t="shared" ref="K41:K43" si="27">J41/A41</f>
        <v>2393.808828770319</v>
      </c>
    </row>
    <row r="42" spans="1:11" x14ac:dyDescent="0.3">
      <c r="A42" s="18">
        <f>'Passenger transport data'!I8</f>
        <v>281.92568516871717</v>
      </c>
      <c r="B42" s="1">
        <f t="shared" ref="B42:B43" si="28">C$7*A42</f>
        <v>19734.7979618102</v>
      </c>
      <c r="C42" s="88">
        <f t="shared" si="25"/>
        <v>1.6774578267538671</v>
      </c>
      <c r="D42" s="89"/>
      <c r="E42" s="90"/>
      <c r="F42" s="88">
        <f>F$40+C42</f>
        <v>32.813541057583265</v>
      </c>
      <c r="G42" s="90"/>
      <c r="H42" s="27">
        <f t="shared" si="26"/>
        <v>0.11639074686631035</v>
      </c>
      <c r="I42" s="1">
        <f t="shared" ref="I42:I43" si="29">C$6*B42</f>
        <v>552.57434293068559</v>
      </c>
      <c r="J42" s="1">
        <f t="shared" ref="J42:J43" si="30">F42*(I42+J$40)</f>
        <v>234729.17172815898</v>
      </c>
      <c r="K42" s="27">
        <f t="shared" si="27"/>
        <v>832.59236059916418</v>
      </c>
    </row>
    <row r="43" spans="1:11" x14ac:dyDescent="0.3">
      <c r="A43" s="18">
        <f>'Passenger transport data'!J8</f>
        <v>474.19900245378221</v>
      </c>
      <c r="B43" s="1">
        <f t="shared" si="28"/>
        <v>33193.930171764754</v>
      </c>
      <c r="C43" s="88">
        <f t="shared" si="25"/>
        <v>2.8214840646000043</v>
      </c>
      <c r="D43" s="89"/>
      <c r="E43" s="90"/>
      <c r="F43" s="88">
        <f t="shared" ref="F43" si="31">F$40+C43</f>
        <v>33.957567295429399</v>
      </c>
      <c r="G43" s="90"/>
      <c r="H43" s="27">
        <f t="shared" si="26"/>
        <v>7.161037269102874E-2</v>
      </c>
      <c r="I43" s="1">
        <f t="shared" si="29"/>
        <v>929.43004480941306</v>
      </c>
      <c r="J43" s="1">
        <f t="shared" si="30"/>
        <v>255709.97931792936</v>
      </c>
      <c r="K43" s="27">
        <f t="shared" si="27"/>
        <v>539.24613505034131</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0.30374036849832436</v>
      </c>
    </row>
    <row r="8" spans="1:6" x14ac:dyDescent="0.3">
      <c r="B8" s="1" t="s">
        <v>99</v>
      </c>
      <c r="C8" s="1">
        <v>6.96</v>
      </c>
      <c r="D8" s="1">
        <f t="shared" ref="D8:D10" si="0">C8/100</f>
        <v>6.9599999999999995E-2</v>
      </c>
      <c r="E8" s="1">
        <f>D8/D$7</f>
        <v>0.40465116279069768</v>
      </c>
      <c r="F8" s="1">
        <f>F$7*E8</f>
        <v>0.12290889329932196</v>
      </c>
    </row>
    <row r="9" spans="1:6" x14ac:dyDescent="0.3">
      <c r="B9" s="1" t="s">
        <v>100</v>
      </c>
      <c r="C9" s="1">
        <v>0.625</v>
      </c>
      <c r="D9" s="1">
        <f t="shared" si="0"/>
        <v>6.2500000000000003E-3</v>
      </c>
      <c r="E9" s="1">
        <f>D9/D$7</f>
        <v>3.6337209302325583E-2</v>
      </c>
      <c r="F9" s="1">
        <f t="shared" ref="F9:F10" si="1">F$7*E9</f>
        <v>1.1037077343689113E-2</v>
      </c>
    </row>
    <row r="10" spans="1:6" x14ac:dyDescent="0.3">
      <c r="B10" s="1" t="s">
        <v>101</v>
      </c>
      <c r="C10" s="1">
        <v>1.355</v>
      </c>
      <c r="D10" s="1">
        <f t="shared" si="0"/>
        <v>1.355E-2</v>
      </c>
      <c r="E10" s="1">
        <f>D10/D$7</f>
        <v>7.8779069767441867E-2</v>
      </c>
      <c r="F10" s="1">
        <f t="shared" si="1"/>
        <v>2.3928383681117996E-2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2022-06-27T08:22:28Z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