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5" documentId="8_{4C372892-E9C3-428B-950B-C5A505A38EBC}" xr6:coauthVersionLast="47" xr6:coauthVersionMax="47" xr10:uidLastSave="{B73DD6C0-F825-451C-8044-21F83B3F3EAE}"/>
  <bookViews>
    <workbookView xWindow="-108" yWindow="-108" windowWidth="23256" windowHeight="12456"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6" i="4"/>
  <c r="B25" i="4"/>
  <c r="B24" i="4"/>
  <c r="B21" i="4"/>
  <c r="B20" i="4"/>
  <c r="B16" i="4"/>
  <c r="B13" i="4"/>
  <c r="B12" i="4"/>
  <c r="B11" i="4"/>
  <c r="B10" i="4"/>
  <c r="B8" i="4"/>
  <c r="B6" i="4"/>
  <c r="D10" i="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8" i="10"/>
  <c r="B28" i="10" s="1"/>
  <c r="A13" i="10"/>
  <c r="B13" i="10" s="1"/>
  <c r="A33" i="10"/>
  <c r="B33" i="10" s="1"/>
  <c r="A18" i="10"/>
  <c r="B18" i="10" s="1"/>
  <c r="A23" i="10"/>
  <c r="B23" i="10" s="1"/>
  <c r="H8" i="4"/>
  <c r="A42" i="9"/>
  <c r="B42" i="9" s="1"/>
  <c r="I42" i="9" s="1"/>
  <c r="J8" i="4"/>
  <c r="H7" i="4"/>
  <c r="A37" i="9"/>
  <c r="B37" i="9" s="1"/>
  <c r="J7" i="4"/>
  <c r="J6" i="4"/>
  <c r="A32" i="9"/>
  <c r="B32" i="9" s="1"/>
  <c r="H5" i="4"/>
  <c r="A22" i="8"/>
  <c r="B22" i="8" s="1"/>
  <c r="I22" i="8" s="1"/>
  <c r="H6" i="4"/>
  <c r="J5" i="4"/>
  <c r="D33" i="4"/>
  <c r="D32" i="4"/>
  <c r="A43" i="9" l="1"/>
  <c r="B43" i="9" s="1"/>
  <c r="I43" i="9" s="1"/>
  <c r="A47" i="12"/>
  <c r="A41" i="9"/>
  <c r="B41" i="9" s="1"/>
  <c r="I41" i="9" s="1"/>
  <c r="A45" i="12"/>
  <c r="A36" i="9"/>
  <c r="B36" i="9" s="1"/>
  <c r="A37" i="12"/>
  <c r="A26" i="8"/>
  <c r="B26" i="8" s="1"/>
  <c r="C27" i="8"/>
  <c r="F27" i="8" s="1"/>
  <c r="I27" i="8"/>
  <c r="A38" i="9"/>
  <c r="B38" i="9" s="1"/>
  <c r="I38" i="9" s="1"/>
  <c r="A39" i="12"/>
  <c r="A28" i="8"/>
  <c r="B28" i="8" s="1"/>
  <c r="A42" i="12"/>
  <c r="A33" i="9"/>
  <c r="A51" i="12"/>
  <c r="A31" i="9"/>
  <c r="B31" i="9" s="1"/>
  <c r="A49" i="12"/>
  <c r="I18" i="10"/>
  <c r="C18" i="10"/>
  <c r="C33" i="10"/>
  <c r="I33" i="10"/>
  <c r="I23" i="10"/>
  <c r="C23" i="10"/>
  <c r="A19" i="12"/>
  <c r="A34" i="10"/>
  <c r="B34" i="10" s="1"/>
  <c r="A14" i="10"/>
  <c r="B14" i="10" s="1"/>
  <c r="A19" i="10"/>
  <c r="B19" i="10" s="1"/>
  <c r="A24" i="10"/>
  <c r="B24" i="10" s="1"/>
  <c r="A29" i="10"/>
  <c r="B29" i="10" s="1"/>
  <c r="I28" i="10"/>
  <c r="C28" i="10"/>
  <c r="A21" i="8"/>
  <c r="B21" i="8" s="1"/>
  <c r="I21" i="8" s="1"/>
  <c r="A17" i="12"/>
  <c r="A22" i="10"/>
  <c r="B22" i="10" s="1"/>
  <c r="A32" i="10"/>
  <c r="B32" i="10" s="1"/>
  <c r="A17" i="10"/>
  <c r="B17" i="10" s="1"/>
  <c r="A27" i="10"/>
  <c r="B27" i="10" s="1"/>
  <c r="A12" i="10"/>
  <c r="B12" i="10" s="1"/>
  <c r="C13" i="10"/>
  <c r="I13" i="10"/>
  <c r="A26" i="12"/>
  <c r="A34" i="12"/>
  <c r="A22" i="12"/>
  <c r="A30" i="12"/>
  <c r="C43" i="9"/>
  <c r="C42" i="9"/>
  <c r="C41" i="9"/>
  <c r="C38" i="9"/>
  <c r="I37" i="9"/>
  <c r="C37" i="9"/>
  <c r="C36" i="9"/>
  <c r="I36" i="9"/>
  <c r="C32" i="9"/>
  <c r="I32" i="9"/>
  <c r="I31" i="9"/>
  <c r="C31" i="9"/>
  <c r="B33" i="9"/>
  <c r="A23" i="8"/>
  <c r="B23" i="8" s="1"/>
  <c r="I23" i="8" s="1"/>
  <c r="C22" i="8"/>
  <c r="D29" i="4"/>
  <c r="D26" i="4"/>
  <c r="D27" i="4"/>
  <c r="D24" i="4"/>
  <c r="D17" i="4"/>
  <c r="D16" i="4"/>
  <c r="L6" i="10" s="1"/>
  <c r="D10" i="4"/>
  <c r="F11" i="8" s="1"/>
  <c r="D11" i="4"/>
  <c r="F17" i="9" s="1"/>
  <c r="D12" i="4"/>
  <c r="D13" i="4"/>
  <c r="D8" i="4"/>
  <c r="F17" i="8" s="1"/>
  <c r="C21" i="8" l="1"/>
  <c r="F40" i="9"/>
  <c r="H40" i="9" s="1"/>
  <c r="B11" i="12"/>
  <c r="B46" i="12" s="1"/>
  <c r="B47" i="12"/>
  <c r="F35" i="9"/>
  <c r="H35" i="9" s="1"/>
  <c r="B9" i="12"/>
  <c r="B38" i="12" s="1"/>
  <c r="F30" i="9"/>
  <c r="H30" i="9" s="1"/>
  <c r="B12" i="12"/>
  <c r="B50" i="12" s="1"/>
  <c r="I28" i="8"/>
  <c r="C28" i="8"/>
  <c r="F28" i="8" s="1"/>
  <c r="A43" i="12"/>
  <c r="B39" i="12"/>
  <c r="J27" i="8"/>
  <c r="K27" i="8" s="1"/>
  <c r="H27" i="8"/>
  <c r="I26" i="8"/>
  <c r="C26" i="8"/>
  <c r="F26" i="8" s="1"/>
  <c r="A41" i="12"/>
  <c r="C42" i="12"/>
  <c r="B42" i="12"/>
  <c r="F20" i="8"/>
  <c r="B4" i="12"/>
  <c r="B19" i="12" s="1"/>
  <c r="F11" i="10"/>
  <c r="H11" i="10" s="1"/>
  <c r="F31" i="10"/>
  <c r="H31" i="10" s="1"/>
  <c r="F21" i="10"/>
  <c r="F26" i="10"/>
  <c r="F28" i="10" s="1"/>
  <c r="F16" i="10"/>
  <c r="H16" i="10" s="1"/>
  <c r="F18" i="10"/>
  <c r="H18" i="10" s="1"/>
  <c r="C34" i="10"/>
  <c r="I34" i="10"/>
  <c r="A31" i="12"/>
  <c r="A35" i="12"/>
  <c r="A27" i="12"/>
  <c r="A23" i="12"/>
  <c r="C12" i="10"/>
  <c r="I12" i="10"/>
  <c r="C27" i="10"/>
  <c r="F27" i="10" s="1"/>
  <c r="I27" i="10"/>
  <c r="I29" i="10"/>
  <c r="C29" i="10"/>
  <c r="F29" i="10" s="1"/>
  <c r="I24" i="10"/>
  <c r="C24" i="10"/>
  <c r="A25" i="12"/>
  <c r="A33" i="12"/>
  <c r="B17" i="12"/>
  <c r="A29" i="12"/>
  <c r="A21" i="12"/>
  <c r="I17" i="10"/>
  <c r="C17" i="10"/>
  <c r="I32" i="10"/>
  <c r="C32" i="10"/>
  <c r="C19" i="10"/>
  <c r="I19" i="10"/>
  <c r="I22" i="10"/>
  <c r="C22" i="10"/>
  <c r="I14" i="10"/>
  <c r="C14" i="10"/>
  <c r="C8" i="9"/>
  <c r="H3" i="12"/>
  <c r="C10" i="11"/>
  <c r="C8" i="8"/>
  <c r="J11" i="8" s="1"/>
  <c r="K11" i="8" s="1"/>
  <c r="F41" i="9"/>
  <c r="H41" i="9" s="1"/>
  <c r="F42" i="9"/>
  <c r="H42" i="9" s="1"/>
  <c r="F43" i="9"/>
  <c r="H43" i="9" s="1"/>
  <c r="F38" i="9"/>
  <c r="H38" i="9" s="1"/>
  <c r="F37" i="9"/>
  <c r="H37" i="9" s="1"/>
  <c r="F36" i="9"/>
  <c r="H36" i="9" s="1"/>
  <c r="H20" i="8"/>
  <c r="F21" i="8"/>
  <c r="F22" i="8"/>
  <c r="F11" i="9"/>
  <c r="F7" i="7"/>
  <c r="H17" i="9"/>
  <c r="F19" i="9"/>
  <c r="F20" i="9"/>
  <c r="F21" i="9"/>
  <c r="F18" i="9"/>
  <c r="H11" i="8"/>
  <c r="F13" i="8"/>
  <c r="F12" i="8"/>
  <c r="F14" i="8"/>
  <c r="F15" i="8"/>
  <c r="H17" i="8"/>
  <c r="F18" i="8"/>
  <c r="C23" i="8"/>
  <c r="F23" i="8" s="1"/>
  <c r="I33" i="9"/>
  <c r="C33" i="9"/>
  <c r="F33" i="9" s="1"/>
  <c r="E10" i="1"/>
  <c r="F19" i="10" l="1"/>
  <c r="H19" i="10" s="1"/>
  <c r="F17" i="10"/>
  <c r="H17" i="10" s="1"/>
  <c r="B37" i="12"/>
  <c r="B45" i="12"/>
  <c r="F32" i="9"/>
  <c r="H32" i="9" s="1"/>
  <c r="B49" i="12"/>
  <c r="F31" i="9"/>
  <c r="H31" i="9" s="1"/>
  <c r="B51" i="12"/>
  <c r="J26" i="8"/>
  <c r="K26" i="8" s="1"/>
  <c r="H26" i="8"/>
  <c r="C43" i="12"/>
  <c r="B43" i="12"/>
  <c r="H28" i="8"/>
  <c r="J28" i="8"/>
  <c r="K28" i="8" s="1"/>
  <c r="B41" i="12"/>
  <c r="C41" i="12"/>
  <c r="J13" i="8"/>
  <c r="J12" i="8"/>
  <c r="K12" i="8" s="1"/>
  <c r="J17" i="8"/>
  <c r="K17" i="8" s="1"/>
  <c r="J20" i="8"/>
  <c r="K20" i="8" s="1"/>
  <c r="J15" i="8"/>
  <c r="K15" i="8" s="1"/>
  <c r="J14" i="8"/>
  <c r="K14" i="8" s="1"/>
  <c r="H28" i="10"/>
  <c r="F32" i="10"/>
  <c r="H32" i="10" s="1"/>
  <c r="F24" i="10"/>
  <c r="B8" i="12"/>
  <c r="B34" i="12"/>
  <c r="B6" i="12"/>
  <c r="B5" i="12"/>
  <c r="B22" i="12" s="1"/>
  <c r="B18" i="12"/>
  <c r="F13" i="10"/>
  <c r="H13" i="10" s="1"/>
  <c r="F33" i="10"/>
  <c r="H33" i="10" s="1"/>
  <c r="J21" i="10"/>
  <c r="K21" i="10" s="1"/>
  <c r="H21" i="10"/>
  <c r="F14" i="10"/>
  <c r="H14" i="10" s="1"/>
  <c r="F12" i="10"/>
  <c r="H12" i="10" s="1"/>
  <c r="F22" i="10"/>
  <c r="F34" i="10"/>
  <c r="H34" i="10" s="1"/>
  <c r="J26" i="10"/>
  <c r="K26" i="10" s="1"/>
  <c r="H26" i="10"/>
  <c r="F23" i="10"/>
  <c r="H24" i="10"/>
  <c r="H29" i="10"/>
  <c r="B31" i="12"/>
  <c r="B27" i="12"/>
  <c r="J22" i="10"/>
  <c r="K22" i="10" s="1"/>
  <c r="H22" i="10"/>
  <c r="J27" i="10"/>
  <c r="K27" i="10" s="1"/>
  <c r="H27" i="10"/>
  <c r="J40" i="9"/>
  <c r="K40" i="9" s="1"/>
  <c r="C11" i="12"/>
  <c r="C12" i="12"/>
  <c r="H8" i="12"/>
  <c r="C9" i="12"/>
  <c r="J30" i="9"/>
  <c r="J32" i="9" s="1"/>
  <c r="K32" i="9" s="1"/>
  <c r="J35" i="9"/>
  <c r="K35" i="9" s="1"/>
  <c r="I8" i="10"/>
  <c r="E2" i="11"/>
  <c r="J23" i="8"/>
  <c r="K23" i="8" s="1"/>
  <c r="H22" i="8"/>
  <c r="J22" i="8"/>
  <c r="K22" i="8" s="1"/>
  <c r="H21" i="8"/>
  <c r="K30" i="9"/>
  <c r="F6" i="9"/>
  <c r="J17" i="9" s="1"/>
  <c r="J18" i="9" s="1"/>
  <c r="F8" i="7"/>
  <c r="F23" i="9" s="1"/>
  <c r="F9" i="7"/>
  <c r="F26" i="9" s="1"/>
  <c r="F10" i="7"/>
  <c r="F28" i="9" s="1"/>
  <c r="J11" i="9"/>
  <c r="H11" i="9"/>
  <c r="F12" i="9"/>
  <c r="F13" i="9"/>
  <c r="F14" i="9"/>
  <c r="F15" i="9"/>
  <c r="H20" i="9"/>
  <c r="H21" i="9"/>
  <c r="H19" i="9"/>
  <c r="H18" i="9"/>
  <c r="K13" i="8"/>
  <c r="H13" i="8"/>
  <c r="H15" i="8"/>
  <c r="H12" i="8"/>
  <c r="H14" i="8"/>
  <c r="H18" i="8"/>
  <c r="H23" i="8"/>
  <c r="H33" i="9"/>
  <c r="E9" i="3"/>
  <c r="E5" i="3"/>
  <c r="E3" i="3"/>
  <c r="C3" i="3" s="1"/>
  <c r="J21" i="8" l="1"/>
  <c r="K21" i="8" s="1"/>
  <c r="J33" i="9"/>
  <c r="K33" i="9" s="1"/>
  <c r="J41" i="9"/>
  <c r="K41" i="9" s="1"/>
  <c r="J24" i="10"/>
  <c r="K24" i="10" s="1"/>
  <c r="J42" i="9"/>
  <c r="K42" i="9" s="1"/>
  <c r="J18" i="8"/>
  <c r="K18" i="8" s="1"/>
  <c r="B23" i="12"/>
  <c r="C8" i="12"/>
  <c r="B30" i="12"/>
  <c r="J23" i="10"/>
  <c r="K23" i="10" s="1"/>
  <c r="H23" i="10"/>
  <c r="C5" i="12"/>
  <c r="C22" i="12" s="1"/>
  <c r="C7" i="12"/>
  <c r="C34" i="12" s="1"/>
  <c r="B33" i="12"/>
  <c r="C6" i="12"/>
  <c r="B26" i="12"/>
  <c r="B21" i="12"/>
  <c r="J29" i="10"/>
  <c r="K29" i="10" s="1"/>
  <c r="B35" i="12"/>
  <c r="J28" i="10"/>
  <c r="K28" i="10" s="1"/>
  <c r="B25" i="12"/>
  <c r="B29" i="12"/>
  <c r="J38" i="9"/>
  <c r="K38" i="9" s="1"/>
  <c r="J37" i="9"/>
  <c r="K37" i="9" s="1"/>
  <c r="J36" i="9"/>
  <c r="K36" i="9" s="1"/>
  <c r="J31" i="9"/>
  <c r="K31" i="9" s="1"/>
  <c r="K8" i="10"/>
  <c r="J31" i="10" s="1"/>
  <c r="H7" i="12"/>
  <c r="C4" i="12" s="1"/>
  <c r="C46" i="12"/>
  <c r="C47" i="12"/>
  <c r="C45" i="12"/>
  <c r="J16" i="10"/>
  <c r="J11" i="10"/>
  <c r="J43" i="9"/>
  <c r="K43" i="9" s="1"/>
  <c r="C37" i="12"/>
  <c r="C39" i="12"/>
  <c r="C38" i="12"/>
  <c r="C50" i="12"/>
  <c r="C51" i="12"/>
  <c r="C49"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3" i="12" l="1"/>
  <c r="C33" i="12"/>
  <c r="C35" i="12"/>
  <c r="C21" i="12"/>
  <c r="C30" i="12"/>
  <c r="C29" i="12"/>
  <c r="C31" i="12"/>
  <c r="C26" i="12"/>
  <c r="C25" i="12"/>
  <c r="C27" i="12"/>
  <c r="C18" i="12"/>
  <c r="C19" i="12"/>
  <c r="C17" i="12"/>
  <c r="K31" i="10"/>
  <c r="J34" i="10"/>
  <c r="K34" i="10" s="1"/>
  <c r="J32" i="10"/>
  <c r="K32" i="10" s="1"/>
  <c r="J33" i="10"/>
  <c r="K33" i="10" s="1"/>
  <c r="K11" i="10"/>
  <c r="J13" i="10"/>
  <c r="K13" i="10" s="1"/>
  <c r="J12" i="10"/>
  <c r="K12" i="10" s="1"/>
  <c r="J14" i="10"/>
  <c r="K14" i="10" s="1"/>
  <c r="J17" i="10"/>
  <c r="K17" i="10" s="1"/>
  <c r="K16" i="10"/>
  <c r="J19" i="10"/>
  <c r="K19" i="10" s="1"/>
  <c r="J18" i="10"/>
  <c r="K18" i="10" s="1"/>
  <c r="F13" i="3"/>
  <c r="C13" i="3"/>
  <c r="E13" i="3"/>
  <c r="K23" i="9"/>
  <c r="J24" i="9"/>
  <c r="K24" i="9" s="1"/>
  <c r="H24" i="9"/>
  <c r="G7" i="3"/>
  <c r="F7" i="3"/>
  <c r="D7" i="3"/>
  <c r="D6" i="3"/>
  <c r="F6" i="3"/>
  <c r="B6" i="3"/>
  <c r="G6" i="3"/>
  <c r="E8" i="3"/>
  <c r="D4" i="3"/>
  <c r="D13" i="3" s="1"/>
  <c r="G4" i="3"/>
  <c r="G13" i="3" s="1"/>
  <c r="B4" i="3"/>
  <c r="B13" i="3" s="1"/>
  <c r="F4" i="3"/>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<sst xmlns="http://schemas.openxmlformats.org/spreadsheetml/2006/main" count="307" uniqueCount="195">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</sst>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HR/JRC-IDEES-2015_Residential_H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HR/JRC-IDEES-2015_Transport_H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6012.9155562071046</v>
          </cell>
        </row>
        <row r="162">
          <cell r="Q162">
            <v>641.38310227161912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1572.4850957333013</v>
          </cell>
        </row>
        <row r="56">
          <cell r="Q56">
            <v>4632.2361092495976</v>
          </cell>
        </row>
      </sheetData>
      <sheetData sheetId="3">
        <row r="150">
          <cell r="Q150">
            <v>11.256666666666666</v>
          </cell>
        </row>
      </sheetData>
      <sheetData sheetId="4">
        <row r="62">
          <cell r="Q62">
            <v>3.6087408146487565</v>
          </cell>
        </row>
        <row r="64">
          <cell r="Q64">
            <v>6.2784933859290586</v>
          </cell>
        </row>
        <row r="65">
          <cell r="Q65">
            <v>6.1012052239368835</v>
          </cell>
        </row>
        <row r="68">
          <cell r="Q68">
            <v>3.6359632874719781</v>
          </cell>
        </row>
        <row r="69">
          <cell r="Q69">
            <v>2.6039598959076034</v>
          </cell>
        </row>
        <row r="70">
          <cell r="Q70">
            <v>55.241702054978084</v>
          </cell>
        </row>
      </sheetData>
      <sheetData sheetId="5">
        <row r="48">
          <cell r="Q48">
            <v>2.9014524000000002</v>
          </cell>
        </row>
        <row r="49">
          <cell r="Q49">
            <v>3.0429314578695501</v>
          </cell>
        </row>
      </sheetData>
      <sheetData sheetId="6" refreshError="1"/>
      <sheetData sheetId="7">
        <row r="62">
          <cell r="Q62">
            <v>69.549150036954913</v>
          </cell>
        </row>
        <row r="63">
          <cell r="Q63">
            <v>63.226500033595379</v>
          </cell>
        </row>
      </sheetData>
      <sheetData sheetId="8">
        <row r="31">
          <cell r="Q31">
            <v>38.994076809044579</v>
          </cell>
        </row>
        <row r="33">
          <cell r="Q33">
            <v>175.61515124716362</v>
          </cell>
        </row>
        <row r="34">
          <cell r="Q34">
            <v>120.62139581575246</v>
          </cell>
        </row>
      </sheetData>
      <sheetData sheetId="9" refreshError="1"/>
      <sheetData sheetId="10">
        <row r="69">
          <cell r="Q69">
            <v>140.39039621525725</v>
          </cell>
        </row>
      </sheetData>
      <sheetData sheetId="11">
        <row r="37">
          <cell r="Q37">
            <v>2996.8973184814195</v>
          </cell>
        </row>
      </sheetData>
      <sheetData sheetId="12">
        <row r="41">
          <cell r="Q41">
            <v>9021.5875692799491</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641.38310227161912</v>
      </c>
      <c r="C3" s="6">
        <v>0.21199999999999999</v>
      </c>
      <c r="D3" s="2">
        <f>B3*$C3</f>
        <v>135.97321768158324</v>
      </c>
      <c r="E3" s="31">
        <v>12.75</v>
      </c>
    </row>
    <row r="4" spans="1:5" x14ac:dyDescent="0.3">
      <c r="A4" s="1" t="s">
        <v>5</v>
      </c>
      <c r="B4" s="6">
        <f>[1]RES_summary!$Q$157</f>
        <v>6012.9155562071046</v>
      </c>
      <c r="C4" s="6">
        <v>0.20200000000000001</v>
      </c>
      <c r="D4" s="29">
        <f>B4*$C4</f>
        <v>1214.6089423538351</v>
      </c>
      <c r="E4" s="31">
        <v>22.88</v>
      </c>
    </row>
    <row r="5" spans="1:5" x14ac:dyDescent="0.3">
      <c r="A5" s="1" t="s">
        <v>6</v>
      </c>
      <c r="B5" s="2">
        <f>B3+B4</f>
        <v>6654.2986584787241</v>
      </c>
      <c r="C5" s="3" t="s">
        <v>7</v>
      </c>
      <c r="D5" s="29">
        <f>D3+D4</f>
        <v>1350.5821600354184</v>
      </c>
      <c r="E5" s="31">
        <f>E3+E4</f>
        <v>35.629999999999995</v>
      </c>
    </row>
    <row r="7" spans="1:5" x14ac:dyDescent="0.3">
      <c r="A7" t="s">
        <v>20</v>
      </c>
      <c r="B7" s="5">
        <v>4225316</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1572.4850957333013</v>
      </c>
      <c r="C10" s="2">
        <f>B10*11630*1000/B7</f>
        <v>4328.1973853265163</v>
      </c>
      <c r="D10" s="6">
        <f>[2]Transport!$Q$56</f>
        <v>4632.2361092495976</v>
      </c>
      <c r="E10" s="2">
        <f>D10*1000000/B7</f>
        <v>1096.305248944599</v>
      </c>
    </row>
    <row r="11" spans="1:5" x14ac:dyDescent="0.3">
      <c r="A11" s="39" t="s">
        <v>142</v>
      </c>
      <c r="B11" s="40">
        <f>B10*11630</f>
        <v>18288001.663378295</v>
      </c>
      <c r="C11" s="40" t="s">
        <v>143</v>
      </c>
      <c r="D11" s="40">
        <f>D10*1000</f>
        <v>4632236.1092495974</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481.03732670371437</v>
      </c>
      <c r="C2" s="35">
        <f>E2*0.9</f>
        <v>577.2447920444572</v>
      </c>
      <c r="D2" s="35">
        <f>0.95*E2</f>
        <v>609.3139471580381</v>
      </c>
      <c r="E2" s="35">
        <f>'Cons and emi per capita'!B3</f>
        <v>641.38310227161912</v>
      </c>
      <c r="F2" s="35">
        <f>1.05*E2</f>
        <v>673.45225738520014</v>
      </c>
      <c r="G2" s="35">
        <f>1.25*E2</f>
        <v>801.72887783952388</v>
      </c>
      <c r="H2" s="12" t="s">
        <v>28</v>
      </c>
    </row>
    <row r="3" spans="1:8" x14ac:dyDescent="0.3">
      <c r="A3" s="1" t="s">
        <v>5</v>
      </c>
      <c r="B3" s="35">
        <f t="shared" ref="B3:B4" si="0">0.75*E3</f>
        <v>4509.6866671553289</v>
      </c>
      <c r="C3" s="35">
        <f t="shared" ref="C3:C4" si="1">E3*0.9</f>
        <v>5411.6240005863947</v>
      </c>
      <c r="D3" s="35">
        <f t="shared" ref="D3:D9" si="2">0.95*E3</f>
        <v>5712.2697783967487</v>
      </c>
      <c r="E3" s="17">
        <f>'Cons and emi per capita'!B4</f>
        <v>6012.9155562071046</v>
      </c>
      <c r="F3" s="35">
        <f t="shared" ref="F3:F9" si="3">1.05*E3</f>
        <v>6313.5613340174605</v>
      </c>
      <c r="G3" s="35">
        <f t="shared" ref="G3:G4" si="4">1.25*E3</f>
        <v>7516.1444452588803</v>
      </c>
      <c r="H3" s="1" t="s">
        <v>28</v>
      </c>
    </row>
    <row r="4" spans="1:8" x14ac:dyDescent="0.3">
      <c r="A4" s="1" t="s">
        <v>18</v>
      </c>
      <c r="B4" s="35">
        <f t="shared" si="0"/>
        <v>4990.7239938590428</v>
      </c>
      <c r="C4" s="35">
        <f t="shared" si="1"/>
        <v>5988.8687926308521</v>
      </c>
      <c r="D4" s="35">
        <f t="shared" si="2"/>
        <v>6321.5837255547876</v>
      </c>
      <c r="E4" s="17">
        <f>E2+E3</f>
        <v>6654.2986584787241</v>
      </c>
      <c r="F4" s="35">
        <f t="shared" si="3"/>
        <v>6987.0135914026605</v>
      </c>
      <c r="G4" s="35">
        <f t="shared" si="4"/>
        <v>8317.8733230984053</v>
      </c>
      <c r="H4" s="1" t="s">
        <v>28</v>
      </c>
    </row>
    <row r="5" spans="1:8" x14ac:dyDescent="0.3">
      <c r="A5" s="1" t="s">
        <v>33</v>
      </c>
      <c r="B5" s="17">
        <f>0.84*E5</f>
        <v>3635.6858036742738</v>
      </c>
      <c r="C5" s="35">
        <f>E5*0.91</f>
        <v>3938.6596206471299</v>
      </c>
      <c r="D5" s="35">
        <f t="shared" si="2"/>
        <v>4111.7875160601907</v>
      </c>
      <c r="E5" s="17">
        <f>'Cons and emi per capita'!C10</f>
        <v>4328.1973853265163</v>
      </c>
      <c r="F5" s="35">
        <f t="shared" si="3"/>
        <v>4544.6072545928419</v>
      </c>
      <c r="G5" s="17">
        <f>1.16*E5</f>
        <v>5020.7089669787583</v>
      </c>
      <c r="H5" s="1" t="s">
        <v>28</v>
      </c>
    </row>
    <row r="6" spans="1:8" x14ac:dyDescent="0.3">
      <c r="A6" s="1" t="s">
        <v>29</v>
      </c>
      <c r="B6" s="17">
        <f>0.75*E6</f>
        <v>101.97991326118742</v>
      </c>
      <c r="C6" s="35">
        <f>E6*0.9</f>
        <v>122.37589591342491</v>
      </c>
      <c r="D6" s="35">
        <f t="shared" si="2"/>
        <v>129.17455679750407</v>
      </c>
      <c r="E6" s="17">
        <f>'Cons and emi per capita'!D3</f>
        <v>135.97321768158324</v>
      </c>
      <c r="F6" s="35">
        <f t="shared" si="3"/>
        <v>142.7718785656624</v>
      </c>
      <c r="G6" s="17">
        <f>1.25*E6</f>
        <v>169.96652210197905</v>
      </c>
      <c r="H6" s="1" t="s">
        <v>30</v>
      </c>
    </row>
    <row r="7" spans="1:8" x14ac:dyDescent="0.3">
      <c r="A7" s="1" t="s">
        <v>31</v>
      </c>
      <c r="B7" s="17">
        <f>0.75*E7</f>
        <v>910.95670676537634</v>
      </c>
      <c r="C7" s="35">
        <f t="shared" ref="C7:C8" si="5">E7*0.9</f>
        <v>1093.1480481184517</v>
      </c>
      <c r="D7" s="35">
        <f t="shared" si="2"/>
        <v>1153.8784952361434</v>
      </c>
      <c r="E7" s="17">
        <f>'Cons and emi per capita'!D4</f>
        <v>1214.6089423538351</v>
      </c>
      <c r="F7" s="35">
        <f t="shared" si="3"/>
        <v>1275.3393894715268</v>
      </c>
      <c r="G7" s="17">
        <f t="shared" ref="G7:G8" si="6">1.25*E7</f>
        <v>1518.2611779422939</v>
      </c>
      <c r="H7" s="1" t="s">
        <v>30</v>
      </c>
    </row>
    <row r="8" spans="1:8" x14ac:dyDescent="0.3">
      <c r="A8" s="1" t="s">
        <v>32</v>
      </c>
      <c r="B8" s="17">
        <f t="shared" ref="B8" si="7">0.75*E8</f>
        <v>1012.9366200265638</v>
      </c>
      <c r="C8" s="35">
        <f t="shared" si="5"/>
        <v>1215.5239440318767</v>
      </c>
      <c r="D8" s="35">
        <f t="shared" si="2"/>
        <v>1283.0530520336474</v>
      </c>
      <c r="E8" s="17">
        <f>E6+E7</f>
        <v>1350.5821600354184</v>
      </c>
      <c r="F8" s="35">
        <f t="shared" si="3"/>
        <v>1418.1112680371893</v>
      </c>
      <c r="G8" s="17">
        <f t="shared" si="6"/>
        <v>1688.227700044273</v>
      </c>
      <c r="H8" s="1" t="s">
        <v>30</v>
      </c>
    </row>
    <row r="9" spans="1:8" x14ac:dyDescent="0.3">
      <c r="A9" s="1" t="s">
        <v>34</v>
      </c>
      <c r="B9" s="17">
        <f>0.84*E9</f>
        <v>920.89640911346316</v>
      </c>
      <c r="C9" s="35">
        <f>E9*0.91</f>
        <v>997.63777653958516</v>
      </c>
      <c r="D9" s="35">
        <f t="shared" si="2"/>
        <v>1041.489986497369</v>
      </c>
      <c r="E9" s="17">
        <f>'Cons and emi per capita'!E10</f>
        <v>1096.305248944599</v>
      </c>
      <c r="F9" s="35">
        <f t="shared" si="3"/>
        <v>1151.120511391829</v>
      </c>
      <c r="G9" s="17">
        <f>1.16*E9</f>
        <v>1271.7140887757348</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8626.409797533317</v>
      </c>
      <c r="C13" s="37">
        <f t="shared" ref="C13:G13" si="8">SUM(C4:C5)</f>
        <v>9927.5284132779816</v>
      </c>
      <c r="D13" s="37">
        <f t="shared" si="8"/>
        <v>10433.371241614979</v>
      </c>
      <c r="E13" s="37">
        <f t="shared" si="8"/>
        <v>10982.49604380524</v>
      </c>
      <c r="F13" s="37">
        <f t="shared" si="8"/>
        <v>11531.620845995501</v>
      </c>
      <c r="G13" s="37">
        <f t="shared" si="8"/>
        <v>13338.582290077164</v>
      </c>
    </row>
    <row r="14" spans="1:8" x14ac:dyDescent="0.3">
      <c r="B14" s="37">
        <f>SUM(B8:B9)</f>
        <v>1933.8330291400271</v>
      </c>
      <c r="C14" s="37">
        <f t="shared" ref="C14:G14" si="9">SUM(C8:C9)</f>
        <v>2213.161720571462</v>
      </c>
      <c r="D14" s="37">
        <f t="shared" si="9"/>
        <v>2324.5430385310165</v>
      </c>
      <c r="E14" s="37">
        <f t="shared" si="9"/>
        <v>2446.8874089800174</v>
      </c>
      <c r="F14" s="37">
        <f t="shared" si="9"/>
        <v>2569.2317794290184</v>
      </c>
      <c r="G14" s="37">
        <f t="shared" si="9"/>
        <v>2959.9417888200078</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6" zoomScale="90" zoomScaleNormal="90" workbookViewId="0">
      <selection activeCell="A35" sqref="A35:E35"/>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0" t="s">
        <v>37</v>
      </c>
      <c r="B1" s="60"/>
      <c r="C1" s="60"/>
      <c r="D1" s="60"/>
      <c r="E1" s="60"/>
      <c r="G1" s="60" t="s">
        <v>75</v>
      </c>
      <c r="H1" s="60"/>
      <c r="I1" s="60"/>
      <c r="J1" s="60"/>
      <c r="K1" s="16"/>
    </row>
    <row r="2" spans="1:11" ht="28.2" customHeight="1" x14ac:dyDescent="0.3">
      <c r="A2" s="73" t="s">
        <v>64</v>
      </c>
      <c r="B2" s="73"/>
      <c r="C2" s="73"/>
      <c r="D2" s="73"/>
      <c r="E2" s="73"/>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4" t="s">
        <v>38</v>
      </c>
      <c r="B4" s="74"/>
      <c r="C4" s="74"/>
      <c r="D4" s="74"/>
      <c r="E4" s="74"/>
      <c r="G4" s="1" t="s">
        <v>81</v>
      </c>
      <c r="H4" s="1">
        <v>15.9</v>
      </c>
      <c r="I4" s="1">
        <v>50</v>
      </c>
      <c r="J4" s="1">
        <v>84.1</v>
      </c>
      <c r="K4" t="s">
        <v>78</v>
      </c>
    </row>
    <row r="5" spans="1:11" x14ac:dyDescent="0.3">
      <c r="A5" s="75" t="s">
        <v>39</v>
      </c>
      <c r="B5" s="75"/>
      <c r="C5" s="75"/>
      <c r="D5" s="75"/>
      <c r="E5" s="75"/>
      <c r="G5" s="1" t="s">
        <v>82</v>
      </c>
      <c r="H5" s="17">
        <f>H$4*I5/I$4</f>
        <v>3.5796199999999998</v>
      </c>
      <c r="I5" s="17">
        <f>B6</f>
        <v>11.256666666666666</v>
      </c>
      <c r="J5" s="17">
        <f>J$4*I5/I$4</f>
        <v>18.93371333333333</v>
      </c>
    </row>
    <row r="6" spans="1:11" x14ac:dyDescent="0.3">
      <c r="A6" s="1" t="s">
        <v>40</v>
      </c>
      <c r="B6" s="6">
        <f>[2]TrRoad_act!$Q$150</f>
        <v>11.256666666666666</v>
      </c>
      <c r="C6" s="1" t="s">
        <v>59</v>
      </c>
      <c r="D6" s="3" t="s">
        <v>7</v>
      </c>
      <c r="E6" s="1"/>
      <c r="G6" s="1" t="s">
        <v>83</v>
      </c>
      <c r="H6" s="17">
        <f t="shared" ref="H6:H8" si="0">H$4*I6/I$4</f>
        <v>22.11662971175166</v>
      </c>
      <c r="I6" s="17">
        <f>B20</f>
        <v>69.549150036954913</v>
      </c>
      <c r="J6" s="17">
        <f t="shared" ref="J6:J8" si="1">J$4*I6/I$4</f>
        <v>116.98167036215814</v>
      </c>
    </row>
    <row r="7" spans="1:11" x14ac:dyDescent="0.3">
      <c r="A7" s="75" t="s">
        <v>61</v>
      </c>
      <c r="B7" s="75"/>
      <c r="C7" s="75"/>
      <c r="D7" s="75"/>
      <c r="E7" s="75"/>
      <c r="G7" s="1" t="s">
        <v>84</v>
      </c>
      <c r="H7" s="17">
        <f t="shared" si="0"/>
        <v>20.106027010683331</v>
      </c>
      <c r="I7" s="17">
        <f>B21</f>
        <v>63.226500033595379</v>
      </c>
      <c r="J7" s="17">
        <f t="shared" si="1"/>
        <v>106.34697305650741</v>
      </c>
    </row>
    <row r="8" spans="1:11" x14ac:dyDescent="0.3">
      <c r="A8" s="1" t="s">
        <v>42</v>
      </c>
      <c r="B8" s="6">
        <f>[2]TrRoad_ene!$Q$62</f>
        <v>3.6087408146487565</v>
      </c>
      <c r="C8" s="73" t="s">
        <v>60</v>
      </c>
      <c r="D8" s="27">
        <f>B8*11.63/100</f>
        <v>0.41969655674365042</v>
      </c>
      <c r="E8" s="73" t="s">
        <v>41</v>
      </c>
      <c r="G8" s="1" t="s">
        <v>85</v>
      </c>
      <c r="H8" s="17">
        <f t="shared" si="0"/>
        <v>0</v>
      </c>
      <c r="I8" s="17">
        <f>B22</f>
        <v>0</v>
      </c>
      <c r="J8" s="17">
        <f t="shared" si="1"/>
        <v>0</v>
      </c>
    </row>
    <row r="9" spans="1:11" x14ac:dyDescent="0.3">
      <c r="A9" s="1" t="s">
        <v>43</v>
      </c>
      <c r="B9" s="3" t="s">
        <v>7</v>
      </c>
      <c r="C9" s="73"/>
      <c r="D9" s="3" t="s">
        <v>7</v>
      </c>
      <c r="E9" s="73"/>
    </row>
    <row r="10" spans="1:11" x14ac:dyDescent="0.3">
      <c r="A10" s="1" t="s">
        <v>44</v>
      </c>
      <c r="B10" s="6">
        <f>AVERAGE([2]TrRoad_ene!$Q$64:$Q$65)</f>
        <v>6.189849304932971</v>
      </c>
      <c r="C10" s="73"/>
      <c r="D10" s="27">
        <f t="shared" ref="D10:D13" si="2">B10*11.63/100</f>
        <v>0.71987947416370457</v>
      </c>
      <c r="E10" s="73"/>
    </row>
    <row r="11" spans="1:11" x14ac:dyDescent="0.3">
      <c r="A11" s="1" t="s">
        <v>45</v>
      </c>
      <c r="B11" s="6">
        <f>[2]TrRoad_ene!$Q$68</f>
        <v>3.6359632874719781</v>
      </c>
      <c r="C11" s="73"/>
      <c r="D11" s="27">
        <f t="shared" si="2"/>
        <v>0.42286253033299104</v>
      </c>
      <c r="E11" s="73"/>
    </row>
    <row r="12" spans="1:11" x14ac:dyDescent="0.3">
      <c r="A12" s="1" t="s">
        <v>46</v>
      </c>
      <c r="B12" s="6">
        <f>[2]TrRoad_ene!$Q$69</f>
        <v>2.6039598959076034</v>
      </c>
      <c r="C12" s="73"/>
      <c r="D12" s="27">
        <f t="shared" si="2"/>
        <v>0.3028405358940543</v>
      </c>
      <c r="E12" s="73"/>
    </row>
    <row r="13" spans="1:11" x14ac:dyDescent="0.3">
      <c r="A13" s="1" t="s">
        <v>40</v>
      </c>
      <c r="B13" s="6">
        <f>[2]TrRoad_ene!$Q$70</f>
        <v>55.241702054978084</v>
      </c>
      <c r="C13" s="73"/>
      <c r="D13" s="27">
        <f t="shared" si="2"/>
        <v>6.4246099489939512</v>
      </c>
      <c r="E13" s="73"/>
    </row>
    <row r="14" spans="1:11" x14ac:dyDescent="0.3">
      <c r="A14" s="75" t="s">
        <v>63</v>
      </c>
      <c r="B14" s="75"/>
      <c r="C14" s="75"/>
      <c r="D14" s="75"/>
      <c r="E14" s="75"/>
    </row>
    <row r="15" spans="1:11" x14ac:dyDescent="0.3">
      <c r="A15" s="38" t="s">
        <v>145</v>
      </c>
      <c r="B15" s="6">
        <v>3.1</v>
      </c>
      <c r="C15" s="1" t="s">
        <v>62</v>
      </c>
      <c r="D15" s="28">
        <f>B15*1000/11630</f>
        <v>0.26655202063628547</v>
      </c>
      <c r="E15" s="1" t="s">
        <v>47</v>
      </c>
    </row>
    <row r="16" spans="1:11" x14ac:dyDescent="0.3">
      <c r="A16" s="1" t="s">
        <v>48</v>
      </c>
      <c r="B16" s="6">
        <f>AVERAGE([2]TrRoad_emi!$Q$48:$Q$49)</f>
        <v>2.9721919289347749</v>
      </c>
      <c r="C16" s="1" t="s">
        <v>62</v>
      </c>
      <c r="D16" s="28">
        <f>B16*1000/11630</f>
        <v>0.25556250463755587</v>
      </c>
      <c r="E16" s="1" t="s">
        <v>47</v>
      </c>
    </row>
    <row r="17" spans="1:5" x14ac:dyDescent="0.3">
      <c r="A17" s="1" t="s">
        <v>65</v>
      </c>
      <c r="B17" s="6">
        <v>0.16400000000000001</v>
      </c>
      <c r="C17" s="1" t="s">
        <v>47</v>
      </c>
      <c r="D17" s="2">
        <f>B17</f>
        <v>0.16400000000000001</v>
      </c>
      <c r="E17" s="1" t="s">
        <v>47</v>
      </c>
    </row>
    <row r="18" spans="1:5" x14ac:dyDescent="0.3">
      <c r="A18" s="61" t="s">
        <v>49</v>
      </c>
      <c r="B18" s="62"/>
      <c r="C18" s="62"/>
      <c r="D18" s="62"/>
      <c r="E18" s="63"/>
    </row>
    <row r="19" spans="1:5" x14ac:dyDescent="0.3">
      <c r="A19" s="64" t="s">
        <v>39</v>
      </c>
      <c r="B19" s="65"/>
      <c r="C19" s="65"/>
      <c r="D19" s="65"/>
      <c r="E19" s="66"/>
    </row>
    <row r="20" spans="1:5" x14ac:dyDescent="0.3">
      <c r="A20" s="1" t="s">
        <v>50</v>
      </c>
      <c r="B20" s="6">
        <f>[2]TrRail_act!$Q$62</f>
        <v>69.549150036954913</v>
      </c>
      <c r="C20" s="67" t="s">
        <v>59</v>
      </c>
      <c r="D20" s="3" t="s">
        <v>7</v>
      </c>
      <c r="E20" s="1"/>
    </row>
    <row r="21" spans="1:5" x14ac:dyDescent="0.3">
      <c r="A21" s="1" t="s">
        <v>51</v>
      </c>
      <c r="B21" s="6">
        <f>[2]TrRail_act!$Q$63</f>
        <v>63.226500033595379</v>
      </c>
      <c r="C21" s="68"/>
      <c r="D21" s="3" t="s">
        <v>7</v>
      </c>
      <c r="E21" s="1"/>
    </row>
    <row r="22" spans="1:5" x14ac:dyDescent="0.3">
      <c r="A22" s="1" t="s">
        <v>52</v>
      </c>
      <c r="B22" s="6"/>
      <c r="C22" s="69"/>
      <c r="D22" s="3" t="s">
        <v>7</v>
      </c>
      <c r="E22" s="1"/>
    </row>
    <row r="23" spans="1:5" x14ac:dyDescent="0.3">
      <c r="A23" s="64" t="s">
        <v>53</v>
      </c>
      <c r="B23" s="65"/>
      <c r="C23" s="65"/>
      <c r="D23" s="65"/>
      <c r="E23" s="66"/>
    </row>
    <row r="24" spans="1:5" x14ac:dyDescent="0.3">
      <c r="A24" s="1" t="s">
        <v>50</v>
      </c>
      <c r="B24" s="6">
        <f>[2]TrRail_ene!$Q$31</f>
        <v>38.994076809044579</v>
      </c>
      <c r="C24" s="70" t="s">
        <v>60</v>
      </c>
      <c r="D24" s="2">
        <f>B24*11.63/100</f>
        <v>4.535011132891885</v>
      </c>
      <c r="E24" s="70" t="s">
        <v>41</v>
      </c>
    </row>
    <row r="25" spans="1:5" x14ac:dyDescent="0.3">
      <c r="A25" s="1" t="s">
        <v>144</v>
      </c>
      <c r="B25" s="6">
        <f>[2]TrRail_ene!$Q$33</f>
        <v>175.61515124716362</v>
      </c>
      <c r="C25" s="71"/>
      <c r="D25" s="27">
        <f t="shared" ref="D25:D27" si="3">B25*11.63/100</f>
        <v>20.42404209004513</v>
      </c>
      <c r="E25" s="71"/>
    </row>
    <row r="26" spans="1:5" x14ac:dyDescent="0.3">
      <c r="A26" s="1" t="s">
        <v>51</v>
      </c>
      <c r="B26" s="6">
        <f>[2]TrRail_ene!$Q$34</f>
        <v>120.62139581575246</v>
      </c>
      <c r="C26" s="71"/>
      <c r="D26" s="27">
        <f t="shared" si="3"/>
        <v>14.028268333372012</v>
      </c>
      <c r="E26" s="71"/>
    </row>
    <row r="27" spans="1:5" x14ac:dyDescent="0.3">
      <c r="A27" s="1" t="s">
        <v>52</v>
      </c>
      <c r="B27" s="6"/>
      <c r="C27" s="72"/>
      <c r="D27" s="2">
        <f t="shared" si="3"/>
        <v>0</v>
      </c>
      <c r="E27" s="72"/>
    </row>
    <row r="28" spans="1:5" x14ac:dyDescent="0.3">
      <c r="A28" s="64" t="s">
        <v>63</v>
      </c>
      <c r="B28" s="65"/>
      <c r="C28" s="65"/>
      <c r="D28" s="65"/>
      <c r="E28" s="66"/>
    </row>
    <row r="29" spans="1:5" x14ac:dyDescent="0.3">
      <c r="A29" s="1" t="s">
        <v>65</v>
      </c>
      <c r="B29" s="26">
        <f>B17</f>
        <v>0.16400000000000001</v>
      </c>
      <c r="C29" s="1" t="s">
        <v>47</v>
      </c>
      <c r="D29" s="2">
        <f>B29</f>
        <v>0.16400000000000001</v>
      </c>
      <c r="E29" s="1" t="s">
        <v>47</v>
      </c>
    </row>
    <row r="30" spans="1:5" x14ac:dyDescent="0.3">
      <c r="A30" s="61" t="s">
        <v>54</v>
      </c>
      <c r="B30" s="62"/>
      <c r="C30" s="62"/>
      <c r="D30" s="62"/>
      <c r="E30" s="63"/>
    </row>
    <row r="31" spans="1:5" x14ac:dyDescent="0.3">
      <c r="A31" s="1" t="s">
        <v>68</v>
      </c>
      <c r="B31" s="6">
        <f>[2]TrAvia_act!$Q$69</f>
        <v>140.39039621525725</v>
      </c>
      <c r="C31" s="1" t="s">
        <v>67</v>
      </c>
      <c r="D31" s="3" t="s">
        <v>7</v>
      </c>
      <c r="E31" s="1"/>
    </row>
    <row r="32" spans="1:5" x14ac:dyDescent="0.3">
      <c r="A32" s="1" t="s">
        <v>72</v>
      </c>
      <c r="B32" s="6">
        <f>[2]TrAvia_ene!$Q$37</f>
        <v>2996.8973184814195</v>
      </c>
      <c r="C32" s="1" t="s">
        <v>69</v>
      </c>
      <c r="D32" s="28">
        <f>B32*11.63*10^(-3)/B31</f>
        <v>0.24826424565750374</v>
      </c>
      <c r="E32" s="1" t="s">
        <v>55</v>
      </c>
    </row>
    <row r="33" spans="1:5" x14ac:dyDescent="0.3">
      <c r="A33" s="1" t="s">
        <v>71</v>
      </c>
      <c r="B33" s="6">
        <f>[2]TrAvia_emi!$Q$41</f>
        <v>9021.5875692799491</v>
      </c>
      <c r="C33" s="1" t="s">
        <v>70</v>
      </c>
      <c r="D33" s="28">
        <f>B33/B31</f>
        <v>64.260717345988283</v>
      </c>
      <c r="E33" s="1" t="s">
        <v>56</v>
      </c>
    </row>
    <row r="35" spans="1:5" x14ac:dyDescent="0.3">
      <c r="A35" s="57" t="s">
        <v>73</v>
      </c>
      <c r="B35" s="58"/>
      <c r="C35" s="58"/>
      <c r="D35" s="58"/>
      <c r="E35" s="59"/>
    </row>
    <row r="36" spans="1:5" x14ac:dyDescent="0.3">
      <c r="A36" s="44" t="s">
        <v>74</v>
      </c>
      <c r="B36" s="45"/>
      <c r="C36" s="45"/>
      <c r="D36" s="45"/>
      <c r="E36" s="46"/>
    </row>
  </sheetData>
  <mergeCells count="20">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G17" sqref="G17"/>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0.16400000000000001</v>
      </c>
    </row>
    <row r="4" spans="1:8" x14ac:dyDescent="0.3">
      <c r="A4" t="s">
        <v>87</v>
      </c>
      <c r="B4">
        <f>'Passenger transport data'!D13</f>
        <v>6.4246099489939512</v>
      </c>
      <c r="C4">
        <f>Tabla4[[#This Row],[ENERGY CONSUMPTION PER VEHICLE]]*H7</f>
        <v>1.6223707217813623</v>
      </c>
      <c r="G4" t="s">
        <v>165</v>
      </c>
      <c r="H4">
        <f>BUS!C16</f>
        <v>0.26139294926913154</v>
      </c>
    </row>
    <row r="5" spans="1:8" x14ac:dyDescent="0.3">
      <c r="A5" t="s">
        <v>179</v>
      </c>
      <c r="B5">
        <f>B4</f>
        <v>6.4246099489939512</v>
      </c>
      <c r="C5">
        <f>Tabla4[[#This Row],[ENERGY CONSUMPTION PER VEHICLE]]*H3</f>
        <v>1.053636031635008</v>
      </c>
      <c r="G5" t="s">
        <v>180</v>
      </c>
      <c r="H5">
        <f>'Passenger transport data'!D15</f>
        <v>0.26655202063628547</v>
      </c>
    </row>
    <row r="6" spans="1:8" x14ac:dyDescent="0.3">
      <c r="A6" t="s">
        <v>181</v>
      </c>
      <c r="B6">
        <f>B4</f>
        <v>6.4246099489939512</v>
      </c>
      <c r="C6">
        <f>Tabla4[[#This Row],[ENERGY CONSUMPTION PER VEHICLE]]*H4</f>
        <v>1.6793477424713337</v>
      </c>
      <c r="G6" t="s">
        <v>182</v>
      </c>
      <c r="H6">
        <f>BUS!E5</f>
        <v>0.22800000000000001</v>
      </c>
    </row>
    <row r="7" spans="1:8" x14ac:dyDescent="0.3">
      <c r="A7" t="s">
        <v>191</v>
      </c>
      <c r="C7">
        <f>Tabla4[[#This Row],[ENERGY CONSUMPTION PER VEHICLE]]*H8</f>
        <v>0</v>
      </c>
      <c r="G7" t="s">
        <v>184</v>
      </c>
      <c r="H7">
        <f>BUS!E2</f>
        <v>0.2525243920894239</v>
      </c>
    </row>
    <row r="8" spans="1:8" x14ac:dyDescent="0.3">
      <c r="A8" t="s">
        <v>183</v>
      </c>
      <c r="B8">
        <f>B4</f>
        <v>6.4246099489939512</v>
      </c>
      <c r="C8">
        <f>Tabla4[[#This Row],[ENERGY CONSUMPTION PER VEHICLE]]*H6</f>
        <v>1.464811068370621</v>
      </c>
      <c r="G8" t="s">
        <v>192</v>
      </c>
      <c r="H8">
        <f>0.5*H3+0.5*H4</f>
        <v>0.21269647463456576</v>
      </c>
    </row>
    <row r="9" spans="1:8" x14ac:dyDescent="0.3">
      <c r="A9" t="s">
        <v>185</v>
      </c>
      <c r="B9">
        <f>'Passenger transport data'!D26</f>
        <v>14.028268333372012</v>
      </c>
      <c r="C9">
        <f>Tabla4[[#This Row],[ENERGY CONSUMPTION PER VEHICLE]]*H3</f>
        <v>2.30063600667301</v>
      </c>
    </row>
    <row r="10" spans="1:8" x14ac:dyDescent="0.3">
      <c r="A10" t="s">
        <v>146</v>
      </c>
      <c r="B10">
        <f>'Passenger transport data'!D25</f>
        <v>20.42404209004513</v>
      </c>
      <c r="C10">
        <f>Tabla4[[#This Row],[ENERGY CONSUMPTION PER VEHICLE]]*H5</f>
        <v>5.444069688662073</v>
      </c>
    </row>
    <row r="11" spans="1:8" x14ac:dyDescent="0.3">
      <c r="A11" t="s">
        <v>103</v>
      </c>
      <c r="B11">
        <f>'Passenger transport data'!D27</f>
        <v>0</v>
      </c>
      <c r="C11">
        <f>Tabla4[[#This Row],[ENERGY CONSUMPTION PER VEHICLE]]*H3</f>
        <v>0</v>
      </c>
    </row>
    <row r="12" spans="1:8" x14ac:dyDescent="0.3">
      <c r="A12" t="s">
        <v>186</v>
      </c>
      <c r="B12">
        <f>'Passenger transport data'!D24</f>
        <v>4.535011132891885</v>
      </c>
      <c r="C12">
        <f>Tabla4[[#This Row],[ENERGY CONSUMPTION PER VEHICLE]]*H3</f>
        <v>0.74374182579426917</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3.5796199999999998</v>
      </c>
      <c r="B17">
        <f>B4/Tabla5[[#This Row],[LEVEL OF OCCUPANCY]]</f>
        <v>1.7947742914035432</v>
      </c>
      <c r="C17">
        <f>C4/Tabla5[[#This Row],[LEVEL OF OCCUPANCY]]</f>
        <v>0.45322428687440636</v>
      </c>
    </row>
    <row r="18" spans="1:3" x14ac:dyDescent="0.3">
      <c r="A18" s="37">
        <f>'Passenger transport data'!I5</f>
        <v>11.256666666666666</v>
      </c>
      <c r="B18">
        <f>B4/Tabla5[[#This Row],[LEVEL OF OCCUPANCY]]</f>
        <v>0.57073822466632673</v>
      </c>
      <c r="C18">
        <f>C4/Tabla5[[#This Row],[LEVEL OF OCCUPANCY]]</f>
        <v>0.14412532322606122</v>
      </c>
    </row>
    <row r="19" spans="1:3" x14ac:dyDescent="0.3">
      <c r="A19" s="37">
        <f>'Passenger transport data'!J5</f>
        <v>18.93371333333333</v>
      </c>
      <c r="B19">
        <f>B4/Tabla5[[#This Row],[LEVEL OF OCCUPANCY]]</f>
        <v>0.33932117994430844</v>
      </c>
      <c r="C19">
        <f>C4/Tabla5[[#This Row],[LEVEL OF OCCUPANCY]]</f>
        <v>8.5686874688502515E-2</v>
      </c>
    </row>
    <row r="20" spans="1:3" x14ac:dyDescent="0.3">
      <c r="A20" t="s">
        <v>179</v>
      </c>
    </row>
    <row r="21" spans="1:3" x14ac:dyDescent="0.3">
      <c r="A21" s="37">
        <f>A17</f>
        <v>3.5796199999999998</v>
      </c>
      <c r="B21">
        <f>B5/Tabla5[[#This Row],[LEVEL OF OCCUPANCY]]</f>
        <v>1.7947742914035432</v>
      </c>
      <c r="C21">
        <f>C5/Tabla5[[#This Row],[LEVEL OF OCCUPANCY]]</f>
        <v>0.29434298379018109</v>
      </c>
    </row>
    <row r="22" spans="1:3" x14ac:dyDescent="0.3">
      <c r="A22" s="37">
        <f>A18</f>
        <v>11.256666666666666</v>
      </c>
      <c r="B22">
        <f>B5/Tabla5[[#This Row],[LEVEL OF OCCUPANCY]]</f>
        <v>0.57073822466632673</v>
      </c>
      <c r="C22">
        <f>C5/Tabla5[[#This Row],[LEVEL OF OCCUPANCY]]</f>
        <v>9.360106884527758E-2</v>
      </c>
    </row>
    <row r="23" spans="1:3" x14ac:dyDescent="0.3">
      <c r="A23" s="37">
        <f>A19</f>
        <v>18.93371333333333</v>
      </c>
      <c r="B23">
        <f>B5/Tabla5[[#This Row],[LEVEL OF OCCUPANCY]]</f>
        <v>0.33932117994430844</v>
      </c>
      <c r="C23">
        <f>C5/Tabla5[[#This Row],[LEVEL OF OCCUPANCY]]</f>
        <v>5.5648673510866588E-2</v>
      </c>
    </row>
    <row r="24" spans="1:3" x14ac:dyDescent="0.3">
      <c r="A24" t="s">
        <v>181</v>
      </c>
    </row>
    <row r="25" spans="1:3" x14ac:dyDescent="0.3">
      <c r="A25" s="37">
        <f>A17</f>
        <v>3.5796199999999998</v>
      </c>
      <c r="B25">
        <f>B6/Tabla5[[#This Row],[LEVEL OF OCCUPANCY]]</f>
        <v>1.7947742914035432</v>
      </c>
      <c r="C25">
        <f>C6/Tabla5[[#This Row],[LEVEL OF OCCUPANCY]]</f>
        <v>0.46914134530238788</v>
      </c>
    </row>
    <row r="26" spans="1:3" x14ac:dyDescent="0.3">
      <c r="A26" s="37">
        <f>A18</f>
        <v>11.256666666666666</v>
      </c>
      <c r="B26">
        <f>B6/Tabla5[[#This Row],[LEVEL OF OCCUPANCY]]</f>
        <v>0.57073822466632673</v>
      </c>
      <c r="C26">
        <f>C6/Tabla5[[#This Row],[LEVEL OF OCCUPANCY]]</f>
        <v>0.14918694780615935</v>
      </c>
    </row>
    <row r="27" spans="1:3" x14ac:dyDescent="0.3">
      <c r="A27" s="37">
        <f>A19</f>
        <v>18.93371333333333</v>
      </c>
      <c r="B27">
        <f>B6/Tabla5[[#This Row],[LEVEL OF OCCUPANCY]]</f>
        <v>0.33932117994430844</v>
      </c>
      <c r="C27">
        <f>C6/Tabla5[[#This Row],[LEVEL OF OCCUPANCY]]</f>
        <v>8.8696163975124476E-2</v>
      </c>
    </row>
    <row r="28" spans="1:3" x14ac:dyDescent="0.3">
      <c r="A28" s="37" t="s">
        <v>183</v>
      </c>
    </row>
    <row r="29" spans="1:3" x14ac:dyDescent="0.3">
      <c r="A29" s="37">
        <f>A17</f>
        <v>3.5796199999999998</v>
      </c>
      <c r="B29">
        <f>B8/Tabla5[[#This Row],[LEVEL OF OCCUPANCY]]</f>
        <v>1.7947742914035432</v>
      </c>
      <c r="C29">
        <f>C8/Tabla5[[#This Row],[LEVEL OF OCCUPANCY]]</f>
        <v>0.40920853844000793</v>
      </c>
    </row>
    <row r="30" spans="1:3" x14ac:dyDescent="0.3">
      <c r="A30" s="37">
        <f>A18</f>
        <v>11.256666666666666</v>
      </c>
      <c r="B30">
        <f>B8/Tabla5[[#This Row],[LEVEL OF OCCUPANCY]]</f>
        <v>0.57073822466632673</v>
      </c>
      <c r="C30">
        <f>C8/Tabla5[[#This Row],[LEVEL OF OCCUPANCY]]</f>
        <v>0.13012831522392251</v>
      </c>
    </row>
    <row r="31" spans="1:3" x14ac:dyDescent="0.3">
      <c r="A31" s="37">
        <f>A19</f>
        <v>18.93371333333333</v>
      </c>
      <c r="B31">
        <f>B8/Tabla5[[#This Row],[LEVEL OF OCCUPANCY]]</f>
        <v>0.33932117994430844</v>
      </c>
      <c r="C31">
        <f>C8/Tabla5[[#This Row],[LEVEL OF OCCUPANCY]]</f>
        <v>7.7365229027302335E-2</v>
      </c>
    </row>
    <row r="32" spans="1:3" x14ac:dyDescent="0.3">
      <c r="A32" s="37" t="s">
        <v>191</v>
      </c>
    </row>
    <row r="33" spans="1:3" x14ac:dyDescent="0.3">
      <c r="A33" s="37">
        <f>A17</f>
        <v>3.5796199999999998</v>
      </c>
      <c r="B33">
        <f>B7/Tabla5[[#This Row],[LEVEL OF OCCUPANCY]]</f>
        <v>0</v>
      </c>
      <c r="C33">
        <f>C7/Tabla5[[#This Row],[LEVEL OF OCCUPANCY]]</f>
        <v>0</v>
      </c>
    </row>
    <row r="34" spans="1:3" x14ac:dyDescent="0.3">
      <c r="A34" s="37">
        <f>A18</f>
        <v>11.256666666666666</v>
      </c>
      <c r="B34">
        <f>B7/Tabla5[[#This Row],[LEVEL OF OCCUPANCY]]</f>
        <v>0</v>
      </c>
      <c r="C34">
        <f>C7/Tabla5[[#This Row],[LEVEL OF OCCUPANCY]]</f>
        <v>0</v>
      </c>
    </row>
    <row r="35" spans="1:3" x14ac:dyDescent="0.3">
      <c r="A35" s="37">
        <f>A19</f>
        <v>18.93371333333333</v>
      </c>
      <c r="B35">
        <f>B7/Tabla5[[#This Row],[LEVEL OF OCCUPANCY]]</f>
        <v>0</v>
      </c>
      <c r="C35">
        <f>C7/Tabla5[[#This Row],[LEVEL OF OCCUPANCY]]</f>
        <v>0</v>
      </c>
    </row>
    <row r="36" spans="1:3" x14ac:dyDescent="0.3">
      <c r="A36" t="s">
        <v>185</v>
      </c>
    </row>
    <row r="37" spans="1:3" x14ac:dyDescent="0.3">
      <c r="A37" s="37">
        <f>'Passenger transport data'!H7</f>
        <v>20.106027010683331</v>
      </c>
      <c r="B37">
        <f>B9/Tabla5[[#This Row],[LEVEL OF OCCUPANCY]]</f>
        <v>0.69771458706974265</v>
      </c>
      <c r="C37">
        <f>C9/Tabla5[[#This Row],[LEVEL OF OCCUPANCY]]</f>
        <v>0.1144251922794378</v>
      </c>
    </row>
    <row r="38" spans="1:3" x14ac:dyDescent="0.3">
      <c r="A38" s="37">
        <f>'Passenger transport data'!I7</f>
        <v>63.226500033595379</v>
      </c>
      <c r="B38">
        <f>B9/Tabla5[[#This Row],[LEVEL OF OCCUPANCY]]</f>
        <v>0.22187323868817815</v>
      </c>
      <c r="C38">
        <f>C9/Tabla5[[#This Row],[LEVEL OF OCCUPANCY]]</f>
        <v>3.6387211144861223E-2</v>
      </c>
    </row>
    <row r="39" spans="1:3" x14ac:dyDescent="0.3">
      <c r="A39" s="37">
        <f>'Passenger transport data'!J7</f>
        <v>106.34697305650741</v>
      </c>
      <c r="B39">
        <f>B9/Tabla5[[#This Row],[LEVEL OF OCCUPANCY]]</f>
        <v>0.13191036782888121</v>
      </c>
      <c r="C39">
        <f>C9/Tabla5[[#This Row],[LEVEL OF OCCUPANCY]]</f>
        <v>2.1633300323936521E-2</v>
      </c>
    </row>
    <row r="40" spans="1:3" x14ac:dyDescent="0.3">
      <c r="A40" t="s">
        <v>146</v>
      </c>
    </row>
    <row r="41" spans="1:3" x14ac:dyDescent="0.3">
      <c r="A41" s="37">
        <f>A37</f>
        <v>20.106027010683331</v>
      </c>
      <c r="B41">
        <f>B10/Tabla5[[#This Row],[LEVEL OF OCCUPANCY]]</f>
        <v>1.0158169030208117</v>
      </c>
      <c r="C41">
        <f>C10/Tabla5[[#This Row],[LEVEL OF OCCUPANCY]]</f>
        <v>0.27076804809669103</v>
      </c>
    </row>
    <row r="42" spans="1:3" x14ac:dyDescent="0.3">
      <c r="A42" s="37">
        <f>A38</f>
        <v>63.226500033595379</v>
      </c>
      <c r="B42">
        <f>B10/Tabla5[[#This Row],[LEVEL OF OCCUPANCY]]</f>
        <v>0.32302977516061815</v>
      </c>
      <c r="C42">
        <f>C10/Tabla5[[#This Row],[LEVEL OF OCCUPANCY]]</f>
        <v>8.6104239294747753E-2</v>
      </c>
    </row>
    <row r="43" spans="1:3" x14ac:dyDescent="0.3">
      <c r="A43" s="37">
        <f>A39</f>
        <v>106.34697305650741</v>
      </c>
      <c r="B43">
        <f>B10/Tabla5[[#This Row],[LEVEL OF OCCUPANCY]]</f>
        <v>0.19205099593378014</v>
      </c>
      <c r="C43">
        <f>C10/Tabla5[[#This Row],[LEVEL OF OCCUPANCY]]</f>
        <v>5.1191581031360144E-2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22.11662971175166</v>
      </c>
      <c r="B49">
        <f>B12/Tabla5[[#This Row],[LEVEL OF OCCUPANCY]]</f>
        <v>0.20504982865821592</v>
      </c>
      <c r="C49">
        <f>C12/Tabla5[[#This Row],[LEVEL OF OCCUPANCY]]</f>
        <v>3.3628171899947414E-2</v>
      </c>
    </row>
    <row r="50" spans="1:3" x14ac:dyDescent="0.3">
      <c r="A50" s="37">
        <f>'Passenger transport data'!I6</f>
        <v>69.549150036954913</v>
      </c>
      <c r="B50">
        <f>B12/Tabla5[[#This Row],[LEVEL OF OCCUPANCY]]</f>
        <v>6.5205845513312655E-2</v>
      </c>
      <c r="C50">
        <f>C12/Tabla5[[#This Row],[LEVEL OF OCCUPANCY]]</f>
        <v>1.0693758664183275E-2</v>
      </c>
    </row>
    <row r="51" spans="1:3" x14ac:dyDescent="0.3">
      <c r="A51" s="37">
        <f>'Passenger transport data'!J6</f>
        <v>116.98167036215814</v>
      </c>
      <c r="B51">
        <f>B12/Tabla5[[#This Row],[LEVEL OF OCCUPANCY]]</f>
        <v>3.8766852267130003E-2</v>
      </c>
      <c r="C51">
        <f>C12/Tabla5[[#This Row],[LEVEL OF OCCUPANCY]]</f>
        <v>6.3577637718093211E-3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5" sqref="C5"/>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1.7</v>
      </c>
      <c r="E2">
        <f>(Tabla1[[#This Row],[% fuel used for buses]]*C10+C3*((C11+C10)/2)+C4*((C12+C13+C14)/3)+C5*C15+C6*C16)/100</f>
        <v>0.2525243920894239</v>
      </c>
      <c r="F2" t="s">
        <v>47</v>
      </c>
    </row>
    <row r="3" spans="2:6" x14ac:dyDescent="0.3">
      <c r="B3" t="s">
        <v>161</v>
      </c>
      <c r="C3">
        <v>0</v>
      </c>
    </row>
    <row r="4" spans="2:6" x14ac:dyDescent="0.3">
      <c r="B4" t="s">
        <v>162</v>
      </c>
      <c r="C4">
        <v>21.6</v>
      </c>
      <c r="E4" t="s">
        <v>163</v>
      </c>
    </row>
    <row r="5" spans="2:6" x14ac:dyDescent="0.3">
      <c r="B5" t="s">
        <v>164</v>
      </c>
      <c r="C5">
        <v>0</v>
      </c>
      <c r="E5">
        <f>(C12+C13+C14)/3</f>
        <v>0.22800000000000001</v>
      </c>
      <c r="F5" t="s">
        <v>47</v>
      </c>
    </row>
    <row r="6" spans="2:6" x14ac:dyDescent="0.3">
      <c r="B6" t="s">
        <v>165</v>
      </c>
      <c r="C6">
        <v>76.7</v>
      </c>
    </row>
    <row r="9" spans="2:6" x14ac:dyDescent="0.3">
      <c r="B9" t="s">
        <v>166</v>
      </c>
      <c r="C9" t="s">
        <v>167</v>
      </c>
    </row>
    <row r="10" spans="2:6" x14ac:dyDescent="0.3">
      <c r="B10" t="s">
        <v>168</v>
      </c>
      <c r="C10">
        <f>'Passenger transport data'!D17</f>
        <v>0.16400000000000001</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2.9*1000/11630</f>
        <v>0.24935511607910577</v>
      </c>
    </row>
    <row r="16" spans="2:6" x14ac:dyDescent="0.3">
      <c r="B16" t="s">
        <v>165</v>
      </c>
      <c r="C16">
        <f>3.04*1000/11630</f>
        <v>0.26139294926913154</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249.35511607910576</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255.56250463755586</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261.39294926913152</v>
      </c>
      <c r="D8" s="22" t="s">
        <v>108</v>
      </c>
      <c r="E8" s="22" t="s">
        <v>147</v>
      </c>
      <c r="F8" s="22">
        <f>BUS!C16*1000</f>
        <v>261.39294926913152</v>
      </c>
      <c r="G8" s="22" t="s">
        <v>108</v>
      </c>
      <c r="H8" s="21" t="s">
        <v>131</v>
      </c>
      <c r="I8" s="22">
        <f>BUS!C10*1000</f>
        <v>164</v>
      </c>
      <c r="J8" s="22" t="s">
        <v>108</v>
      </c>
      <c r="K8" s="43">
        <f>BUS!E2*1000</f>
        <v>252.52439208942391</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6.4246099489939512</v>
      </c>
      <c r="G11" s="82"/>
      <c r="H11" s="30">
        <f>F11/A11</f>
        <v>6.4246099489939512</v>
      </c>
      <c r="I11" s="1">
        <v>0</v>
      </c>
      <c r="J11" s="1">
        <f>I$8*F11</f>
        <v>1053.6360316350081</v>
      </c>
      <c r="K11" s="30">
        <f>J11/A11</f>
        <v>1053.6360316350081</v>
      </c>
    </row>
    <row r="12" spans="1:13" x14ac:dyDescent="0.3">
      <c r="A12" s="18">
        <f>'Passenger transport data'!H5</f>
        <v>3.5796199999999998</v>
      </c>
      <c r="B12" s="1">
        <f>C$7*A12</f>
        <v>286.36959999999999</v>
      </c>
      <c r="C12" s="82">
        <f>I$4*B12/100</f>
        <v>2.4341416000000001E-2</v>
      </c>
      <c r="D12" s="82"/>
      <c r="E12" s="82"/>
      <c r="F12" s="82">
        <f>F$11+C12</f>
        <v>6.4489513649939516</v>
      </c>
      <c r="G12" s="82"/>
      <c r="H12" s="27">
        <f t="shared" ref="H12:H14" si="0">F12/A12</f>
        <v>1.8015742914035433</v>
      </c>
      <c r="I12" s="1">
        <f>I$6*B12</f>
        <v>8.0183487999999983</v>
      </c>
      <c r="J12" s="1">
        <f>F12*(I12+J$11)</f>
        <v>6846.5574658581536</v>
      </c>
      <c r="K12" s="27">
        <f>J12/A12</f>
        <v>1912.6492381476676</v>
      </c>
    </row>
    <row r="13" spans="1:13" x14ac:dyDescent="0.3">
      <c r="A13" s="18">
        <f>'Passenger transport data'!I5</f>
        <v>11.256666666666666</v>
      </c>
      <c r="B13" s="1">
        <f t="shared" ref="B13:B14" si="1">C$7*A13</f>
        <v>900.5333333333333</v>
      </c>
      <c r="C13" s="82">
        <f t="shared" ref="C13:C14" si="2">I$4*B13/100</f>
        <v>7.6545333333333326E-2</v>
      </c>
      <c r="D13" s="82"/>
      <c r="E13" s="82"/>
      <c r="F13" s="82">
        <f t="shared" ref="F13:F14" si="3">F$11+C13</f>
        <v>6.5011552823272849</v>
      </c>
      <c r="G13" s="82"/>
      <c r="H13" s="27">
        <f t="shared" si="0"/>
        <v>0.57753822466632676</v>
      </c>
      <c r="I13" s="1">
        <f t="shared" ref="I13:I14" si="4">I$6*B13</f>
        <v>25.214933333333331</v>
      </c>
      <c r="J13" s="1">
        <f>F13*(I13+J$11)</f>
        <v>7013.7776497478217</v>
      </c>
      <c r="K13" s="27">
        <f>J13/A13</f>
        <v>623.0776709873694</v>
      </c>
    </row>
    <row r="14" spans="1:13" x14ac:dyDescent="0.3">
      <c r="A14" s="18">
        <f>'Passenger transport data'!J5</f>
        <v>18.93371333333333</v>
      </c>
      <c r="B14" s="1">
        <f t="shared" si="1"/>
        <v>1514.6970666666664</v>
      </c>
      <c r="C14" s="82">
        <f t="shared" si="2"/>
        <v>0.12874925066666665</v>
      </c>
      <c r="D14" s="82"/>
      <c r="E14" s="82"/>
      <c r="F14" s="82">
        <f t="shared" si="3"/>
        <v>6.5533591996606182</v>
      </c>
      <c r="G14" s="82"/>
      <c r="H14" s="27">
        <f t="shared" si="0"/>
        <v>0.34612117994430847</v>
      </c>
      <c r="I14" s="1">
        <f t="shared" si="4"/>
        <v>42.411517866666657</v>
      </c>
      <c r="J14" s="1">
        <f>F14*(I14+J$11)</f>
        <v>7182.7932917922762</v>
      </c>
      <c r="K14" s="27">
        <f>J14/A14</f>
        <v>379.36527110858748</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6.4246099489939512</v>
      </c>
      <c r="G16" s="82"/>
      <c r="H16" s="30">
        <f>F16/A16</f>
        <v>6.4246099489939512</v>
      </c>
      <c r="I16" s="1">
        <v>0</v>
      </c>
      <c r="J16" s="1">
        <f>F16*(0.5*C$8+0.5*I$8)</f>
        <v>1366.4918870531708</v>
      </c>
      <c r="K16" s="30">
        <f>J16/A16</f>
        <v>1366.4918870531708</v>
      </c>
    </row>
    <row r="17" spans="1:11" x14ac:dyDescent="0.3">
      <c r="A17" s="18">
        <f>'Passenger transport data'!H5</f>
        <v>3.5796199999999998</v>
      </c>
      <c r="B17" s="1">
        <f>C$7*A17</f>
        <v>286.36959999999999</v>
      </c>
      <c r="C17" s="76">
        <f>B17*(0.5*I$4+0.5*C$5)/100</f>
        <v>6.9444628000000008E-2</v>
      </c>
      <c r="D17" s="77"/>
      <c r="E17" s="78"/>
      <c r="F17" s="76">
        <f>F$16+C17</f>
        <v>6.4940545769939515</v>
      </c>
      <c r="G17" s="78"/>
      <c r="H17" s="27">
        <f>F17/A17</f>
        <v>1.8141742914035432</v>
      </c>
      <c r="I17" s="1">
        <f>B17*(0.5*C$6+0.5*I$6)/100</f>
        <v>0.18327654400000001</v>
      </c>
      <c r="J17" s="1">
        <f>F17*(I17+J$16)</f>
        <v>8875.2631014221643</v>
      </c>
      <c r="K17" s="27">
        <f>J17/A17</f>
        <v>2479.3869464977188</v>
      </c>
    </row>
    <row r="18" spans="1:11" x14ac:dyDescent="0.3">
      <c r="A18" s="18">
        <f>'Passenger transport data'!I5</f>
        <v>11.256666666666666</v>
      </c>
      <c r="B18" s="1">
        <f t="shared" ref="B18:B19" si="5">C$7*A18</f>
        <v>900.5333333333333</v>
      </c>
      <c r="C18" s="76">
        <f t="shared" ref="C18:C19" si="6">B18*(0.5*I$4+0.5*C$5)/100</f>
        <v>0.21837933333333331</v>
      </c>
      <c r="D18" s="77"/>
      <c r="E18" s="78"/>
      <c r="F18" s="76">
        <f t="shared" ref="F18:F19" si="7">F$16+C18</f>
        <v>6.6429892823272843</v>
      </c>
      <c r="G18" s="78"/>
      <c r="H18" s="27">
        <f t="shared" ref="H18:H19" si="8">F18/A18</f>
        <v>0.59013822466632671</v>
      </c>
      <c r="I18" s="1">
        <f t="shared" ref="I18:I19" si="9">B18*(0.5*C$6+0.5*I$6)/100</f>
        <v>0.57634133333333326</v>
      </c>
      <c r="J18" s="1">
        <f t="shared" ref="J18:J19" si="10">F18*(I18+J$16)</f>
        <v>9081.4195893816959</v>
      </c>
      <c r="K18" s="27">
        <f t="shared" ref="K18:K19" si="11">J18/A18</f>
        <v>806.75921729775212</v>
      </c>
    </row>
    <row r="19" spans="1:11" x14ac:dyDescent="0.3">
      <c r="A19" s="18">
        <f>'Passenger transport data'!J5</f>
        <v>18.93371333333333</v>
      </c>
      <c r="B19" s="1">
        <f t="shared" si="5"/>
        <v>1514.6970666666664</v>
      </c>
      <c r="C19" s="76">
        <f t="shared" si="6"/>
        <v>0.36731403866666662</v>
      </c>
      <c r="D19" s="77"/>
      <c r="E19" s="78"/>
      <c r="F19" s="76">
        <f t="shared" si="7"/>
        <v>6.7919239876606179</v>
      </c>
      <c r="G19" s="78"/>
      <c r="H19" s="27">
        <f t="shared" si="8"/>
        <v>0.35872117994430847</v>
      </c>
      <c r="I19" s="1">
        <f t="shared" si="9"/>
        <v>0.96940612266666648</v>
      </c>
      <c r="J19" s="1">
        <f t="shared" si="10"/>
        <v>9287.6931593183799</v>
      </c>
      <c r="K19" s="27">
        <f t="shared" si="11"/>
        <v>490.53732861620637</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6.4246099489939512</v>
      </c>
      <c r="G21" s="82"/>
      <c r="H21" s="30">
        <f>F21/A21</f>
        <v>6.4246099489939512</v>
      </c>
      <c r="I21" s="1">
        <v>0</v>
      </c>
      <c r="J21" s="1">
        <f>F21*K$6</f>
        <v>1464.8110683706209</v>
      </c>
      <c r="K21" s="30">
        <f>J21/A21</f>
        <v>1464.8110683706209</v>
      </c>
    </row>
    <row r="22" spans="1:11" x14ac:dyDescent="0.3">
      <c r="A22" s="18">
        <f>'Passenger transport data'!H5</f>
        <v>3.5796199999999998</v>
      </c>
      <c r="B22" s="1">
        <f>C$7*A22</f>
        <v>286.36959999999999</v>
      </c>
      <c r="C22" s="76">
        <f>B22*C$5/100</f>
        <v>0.11454784</v>
      </c>
      <c r="D22" s="77"/>
      <c r="E22" s="78"/>
      <c r="F22" s="79">
        <f>F$21+C22</f>
        <v>6.5391577889939514</v>
      </c>
      <c r="G22" s="80"/>
      <c r="H22" s="27">
        <f t="shared" ref="H22:H24" si="12">F22/A22</f>
        <v>1.8267742914035434</v>
      </c>
      <c r="I22" s="1">
        <f>C$6*B22</f>
        <v>28.636960000000002</v>
      </c>
      <c r="J22" s="1">
        <f>F22*(I22+J$21)</f>
        <v>9765.8923071774061</v>
      </c>
      <c r="K22" s="27">
        <f t="shared" ref="K22:K24" si="13">J22/A22</f>
        <v>2728.1924637747602</v>
      </c>
    </row>
    <row r="23" spans="1:11" x14ac:dyDescent="0.3">
      <c r="A23" s="18">
        <f>'Passenger transport data'!I5</f>
        <v>11.256666666666666</v>
      </c>
      <c r="B23" s="1">
        <f t="shared" ref="B23:B24" si="14">C$7*A23</f>
        <v>900.5333333333333</v>
      </c>
      <c r="C23" s="76">
        <f t="shared" ref="C23:C24" si="15">B23*C$5/100</f>
        <v>0.36021333333333333</v>
      </c>
      <c r="D23" s="77"/>
      <c r="E23" s="78"/>
      <c r="F23" s="76">
        <f>F$21+C23</f>
        <v>6.7848232823272845</v>
      </c>
      <c r="G23" s="78"/>
      <c r="H23" s="27">
        <f t="shared" si="12"/>
        <v>0.60273822466632676</v>
      </c>
      <c r="I23" s="1">
        <f t="shared" ref="I23:I24" si="16">C$6*B23</f>
        <v>90.053333333333342</v>
      </c>
      <c r="J23" s="1">
        <f t="shared" ref="J23:J24" si="17">F23*(I23+J$21)</f>
        <v>10549.480193542871</v>
      </c>
      <c r="K23" s="27">
        <f t="shared" si="13"/>
        <v>937.17620907991159</v>
      </c>
    </row>
    <row r="24" spans="1:11" x14ac:dyDescent="0.3">
      <c r="A24" s="18">
        <f>'Passenger transport data'!J5</f>
        <v>18.93371333333333</v>
      </c>
      <c r="B24" s="1">
        <f t="shared" si="14"/>
        <v>1514.6970666666664</v>
      </c>
      <c r="C24" s="76">
        <f t="shared" si="15"/>
        <v>0.60587882666666659</v>
      </c>
      <c r="D24" s="77"/>
      <c r="E24" s="78"/>
      <c r="F24" s="76">
        <f t="shared" ref="F24" si="18">F$21+C24</f>
        <v>7.0304887756606176</v>
      </c>
      <c r="G24" s="78"/>
      <c r="H24" s="27">
        <f t="shared" si="12"/>
        <v>0.37132117994430847</v>
      </c>
      <c r="I24" s="1">
        <f t="shared" si="16"/>
        <v>151.46970666666664</v>
      </c>
      <c r="J24" s="1">
        <f t="shared" si="17"/>
        <v>11363.243847215694</v>
      </c>
      <c r="K24" s="27">
        <f t="shared" si="13"/>
        <v>600.15928450814692</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6.4246099489939512</v>
      </c>
      <c r="G26" s="82"/>
      <c r="H26" s="30">
        <f>F26/A26</f>
        <v>6.4246099489939512</v>
      </c>
      <c r="I26" s="1">
        <v>0</v>
      </c>
      <c r="J26" s="1">
        <f>C$8*F26</f>
        <v>1679.3477424713335</v>
      </c>
      <c r="K26" s="30">
        <f>J26/A26</f>
        <v>1679.3477424713335</v>
      </c>
    </row>
    <row r="27" spans="1:11" x14ac:dyDescent="0.3">
      <c r="A27" s="18">
        <f>'Passenger transport data'!H5</f>
        <v>3.5796199999999998</v>
      </c>
      <c r="B27" s="1">
        <f>C$7*A27</f>
        <v>286.36959999999999</v>
      </c>
      <c r="C27" s="76">
        <f>B27*C$5/100</f>
        <v>0.11454784</v>
      </c>
      <c r="D27" s="77"/>
      <c r="E27" s="78"/>
      <c r="F27" s="79">
        <f>F$26+C27</f>
        <v>6.5391577889939514</v>
      </c>
      <c r="G27" s="80"/>
      <c r="H27" s="27">
        <f>F27/A27</f>
        <v>1.8267742914035434</v>
      </c>
      <c r="I27" s="1">
        <f>C$6*B27</f>
        <v>28.636960000000002</v>
      </c>
      <c r="J27" s="1">
        <f>F27*(I27+J$26)</f>
        <v>11168.781470647937</v>
      </c>
      <c r="K27" s="27">
        <f>J27/A27</f>
        <v>3120.1025445851619</v>
      </c>
    </row>
    <row r="28" spans="1:11" x14ac:dyDescent="0.3">
      <c r="A28" s="18">
        <f>'Passenger transport data'!I5</f>
        <v>11.256666666666666</v>
      </c>
      <c r="B28" s="1">
        <f t="shared" ref="B28:B29" si="19">C$7*A28</f>
        <v>900.5333333333333</v>
      </c>
      <c r="C28" s="76">
        <f t="shared" ref="C28:C29" si="20">B28*C$5/100</f>
        <v>0.36021333333333333</v>
      </c>
      <c r="D28" s="77"/>
      <c r="E28" s="78"/>
      <c r="F28" s="79">
        <f t="shared" ref="F28:F29" si="21">F$26+C28</f>
        <v>6.7848232823272845</v>
      </c>
      <c r="G28" s="80"/>
      <c r="H28" s="27">
        <f t="shared" ref="H28:H29" si="22">F28/A28</f>
        <v>0.60273822466632676</v>
      </c>
      <c r="I28" s="1">
        <f t="shared" ref="I28:I29" si="23">C$6*B28</f>
        <v>90.053333333333342</v>
      </c>
      <c r="J28" s="1">
        <f t="shared" ref="J28:J29" si="24">F28*(I28+J$26)</f>
        <v>12005.073614894447</v>
      </c>
      <c r="K28" s="27">
        <f t="shared" ref="K28:K29" si="25">J28/A28</f>
        <v>1066.4856631531934</v>
      </c>
    </row>
    <row r="29" spans="1:11" x14ac:dyDescent="0.3">
      <c r="A29" s="18">
        <f>'Passenger transport data'!J5</f>
        <v>18.93371333333333</v>
      </c>
      <c r="B29" s="1">
        <f t="shared" si="19"/>
        <v>1514.6970666666664</v>
      </c>
      <c r="C29" s="76">
        <f t="shared" si="20"/>
        <v>0.60587882666666659</v>
      </c>
      <c r="D29" s="77"/>
      <c r="E29" s="78"/>
      <c r="F29" s="79">
        <f t="shared" si="21"/>
        <v>7.0304887756606176</v>
      </c>
      <c r="G29" s="80"/>
      <c r="H29" s="27">
        <f t="shared" si="22"/>
        <v>0.37132117994430847</v>
      </c>
      <c r="I29" s="1">
        <f t="shared" si="23"/>
        <v>151.46970666666664</v>
      </c>
      <c r="J29" s="1">
        <f t="shared" si="24"/>
        <v>12871.541526448313</v>
      </c>
      <c r="K29" s="27">
        <f t="shared" si="25"/>
        <v>679.82129547655109</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6.4246099489939512</v>
      </c>
      <c r="G31" s="82"/>
      <c r="H31" s="30">
        <f>F31/A31</f>
        <v>6.4246099489939512</v>
      </c>
      <c r="I31" s="1">
        <v>0</v>
      </c>
      <c r="J31" s="1">
        <f>K$8*F31</f>
        <v>1622.3707217813624</v>
      </c>
      <c r="K31" s="30">
        <f>J31/A31</f>
        <v>1622.3707217813624</v>
      </c>
    </row>
    <row r="32" spans="1:11" x14ac:dyDescent="0.3">
      <c r="A32" s="18">
        <f>'Passenger transport data'!H5</f>
        <v>3.5796199999999998</v>
      </c>
      <c r="B32" s="1">
        <f>C$7*A32</f>
        <v>286.36959999999999</v>
      </c>
      <c r="C32" s="76">
        <f>B32*C$5/100</f>
        <v>0.11454784</v>
      </c>
      <c r="D32" s="77"/>
      <c r="E32" s="78"/>
      <c r="F32" s="79">
        <f>F$31+C32</f>
        <v>6.5391577889939514</v>
      </c>
      <c r="G32" s="80"/>
      <c r="H32" s="27">
        <f>F32/A32</f>
        <v>1.8267742914035434</v>
      </c>
      <c r="I32" s="1">
        <f>C$6*B32</f>
        <v>28.636960000000002</v>
      </c>
      <c r="J32" s="1">
        <f>F32*(I32+J$31)</f>
        <v>10796.199742009443</v>
      </c>
      <c r="K32" s="27">
        <f t="shared" ref="K32:K34" si="26">J32/A32</f>
        <v>3016.0183879879551</v>
      </c>
    </row>
    <row r="33" spans="1:11" x14ac:dyDescent="0.3">
      <c r="A33" s="18">
        <f>'Passenger transport data'!I5</f>
        <v>11.256666666666666</v>
      </c>
      <c r="B33" s="1">
        <f t="shared" ref="B33:B34" si="27">C$7*A33</f>
        <v>900.5333333333333</v>
      </c>
      <c r="C33" s="76">
        <f t="shared" ref="C33:C34" si="28">B33*C$5/100</f>
        <v>0.36021333333333333</v>
      </c>
      <c r="D33" s="77"/>
      <c r="E33" s="78"/>
      <c r="F33" s="79">
        <f t="shared" ref="F33:F34" si="29">F$31+C33</f>
        <v>6.7848232823272845</v>
      </c>
      <c r="G33" s="80"/>
      <c r="H33" s="27">
        <f t="shared" ref="H33:H34" si="30">F33/A33</f>
        <v>0.60273822466632676</v>
      </c>
      <c r="I33" s="1">
        <f t="shared" ref="I33:I34" si="31">C$6*B33</f>
        <v>90.053333333333342</v>
      </c>
      <c r="J33" s="1">
        <f t="shared" ref="J33:J34" si="32">F33*(I33+J$31)</f>
        <v>11618.494598359488</v>
      </c>
      <c r="K33" s="27">
        <f t="shared" si="26"/>
        <v>1032.1434348557436</v>
      </c>
    </row>
    <row r="34" spans="1:11" x14ac:dyDescent="0.3">
      <c r="A34" s="18">
        <f>'Passenger transport data'!J5</f>
        <v>18.93371333333333</v>
      </c>
      <c r="B34" s="1">
        <f t="shared" si="27"/>
        <v>1514.6970666666664</v>
      </c>
      <c r="C34" s="76">
        <f t="shared" si="28"/>
        <v>0.60587882666666659</v>
      </c>
      <c r="D34" s="77"/>
      <c r="E34" s="78"/>
      <c r="F34" s="79">
        <f t="shared" si="29"/>
        <v>7.0304887756606176</v>
      </c>
      <c r="G34" s="80"/>
      <c r="H34" s="27">
        <f t="shared" si="30"/>
        <v>0.37132117994430847</v>
      </c>
      <c r="I34" s="1">
        <f t="shared" si="31"/>
        <v>151.46970666666664</v>
      </c>
      <c r="J34" s="1">
        <f t="shared" si="32"/>
        <v>12470.965222016888</v>
      </c>
      <c r="K34" s="27">
        <f t="shared" si="26"/>
        <v>658.6645209242397</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255.56250463755586</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0.71987947416370457</v>
      </c>
      <c r="G11" s="98"/>
      <c r="H11" s="27">
        <f>F11/A11</f>
        <v>0.71987947416370457</v>
      </c>
      <c r="I11" s="1">
        <v>0</v>
      </c>
      <c r="J11" s="1">
        <f>C$8*F11</f>
        <v>183.97420145444303</v>
      </c>
      <c r="K11" s="27">
        <f>J11/A11</f>
        <v>183.97420145444303</v>
      </c>
    </row>
    <row r="12" spans="1:11" x14ac:dyDescent="0.3">
      <c r="A12" s="1">
        <v>2</v>
      </c>
      <c r="B12" s="1">
        <f>B11+C$7</f>
        <v>80</v>
      </c>
      <c r="C12" s="82">
        <f>C$5*B12/100</f>
        <v>3.2000000000000001E-2</v>
      </c>
      <c r="D12" s="82"/>
      <c r="E12" s="82"/>
      <c r="F12" s="82">
        <f>F$11+C12</f>
        <v>0.7518794741637046</v>
      </c>
      <c r="G12" s="82"/>
      <c r="H12" s="27">
        <f t="shared" ref="H12:H15" si="0">F12/A12</f>
        <v>0.3759397370818523</v>
      </c>
      <c r="I12" s="1">
        <f>C$6*B12</f>
        <v>8</v>
      </c>
      <c r="J12" s="1">
        <f>F12*(I12+J$11)</f>
        <v>144.34146164256373</v>
      </c>
      <c r="K12" s="27">
        <f t="shared" ref="K12:K15" si="1">J12/A12</f>
        <v>72.170730821281865</v>
      </c>
    </row>
    <row r="13" spans="1:11" x14ac:dyDescent="0.3">
      <c r="A13" s="1">
        <v>3</v>
      </c>
      <c r="B13" s="1">
        <f t="shared" ref="B13:B15" si="2">B12+C$7</f>
        <v>160</v>
      </c>
      <c r="C13" s="82">
        <f>C$5*B13/100</f>
        <v>6.4000000000000001E-2</v>
      </c>
      <c r="D13" s="82"/>
      <c r="E13" s="82"/>
      <c r="F13" s="82">
        <f t="shared" ref="F13:F15" si="3">F$11+C13</f>
        <v>0.78387947416370451</v>
      </c>
      <c r="G13" s="82"/>
      <c r="H13" s="27">
        <f t="shared" si="0"/>
        <v>0.26129315805456815</v>
      </c>
      <c r="I13" s="1">
        <f t="shared" ref="I13:I15" si="4">C$6*B13</f>
        <v>16</v>
      </c>
      <c r="J13" s="1">
        <f t="shared" ref="J13:J15" si="5">F13*(I13+J$11)</f>
        <v>156.75567188241553</v>
      </c>
      <c r="K13" s="27">
        <f t="shared" si="1"/>
        <v>52.251890627471845</v>
      </c>
    </row>
    <row r="14" spans="1:11" x14ac:dyDescent="0.3">
      <c r="A14" s="1">
        <v>4</v>
      </c>
      <c r="B14" s="1">
        <f t="shared" si="2"/>
        <v>240</v>
      </c>
      <c r="C14" s="82">
        <f>C$5*B14/100</f>
        <v>9.6000000000000002E-2</v>
      </c>
      <c r="D14" s="82"/>
      <c r="E14" s="82"/>
      <c r="F14" s="82">
        <f t="shared" si="3"/>
        <v>0.81587947416370454</v>
      </c>
      <c r="G14" s="82"/>
      <c r="H14" s="27">
        <f t="shared" si="0"/>
        <v>0.20396986854092614</v>
      </c>
      <c r="I14" s="1">
        <f t="shared" si="4"/>
        <v>24</v>
      </c>
      <c r="J14" s="1">
        <f t="shared" si="5"/>
        <v>169.68188212226733</v>
      </c>
      <c r="K14" s="27">
        <f t="shared" si="1"/>
        <v>42.420470530566831</v>
      </c>
    </row>
    <row r="15" spans="1:11" x14ac:dyDescent="0.3">
      <c r="A15" s="1">
        <v>5</v>
      </c>
      <c r="B15" s="1">
        <f t="shared" si="2"/>
        <v>320</v>
      </c>
      <c r="C15" s="82">
        <f>C$5*B15/100</f>
        <v>0.128</v>
      </c>
      <c r="D15" s="82"/>
      <c r="E15" s="82"/>
      <c r="F15" s="82">
        <f t="shared" si="3"/>
        <v>0.84787947416370457</v>
      </c>
      <c r="G15" s="82"/>
      <c r="H15" s="27">
        <f t="shared" si="0"/>
        <v>0.16957589483274091</v>
      </c>
      <c r="I15" s="1">
        <f t="shared" si="4"/>
        <v>32</v>
      </c>
      <c r="J15" s="1">
        <f t="shared" si="5"/>
        <v>183.12009236211915</v>
      </c>
      <c r="K15" s="27">
        <f t="shared" si="1"/>
        <v>36.624018472423828</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0.41969655674365042</v>
      </c>
      <c r="G17" s="98"/>
      <c r="H17" s="27">
        <f>F17/A17</f>
        <v>0.41969655674365042</v>
      </c>
      <c r="I17" s="1">
        <v>0</v>
      </c>
      <c r="J17" s="1">
        <f>C$8*F17</f>
        <v>107.25870322916539</v>
      </c>
      <c r="K17" s="27">
        <f>J17/A17</f>
        <v>107.25870322916539</v>
      </c>
    </row>
    <row r="18" spans="1:11" x14ac:dyDescent="0.3">
      <c r="A18" s="1">
        <v>2</v>
      </c>
      <c r="B18" s="1">
        <f>C7+B17</f>
        <v>80</v>
      </c>
      <c r="C18" s="82">
        <f>C$5*B18/100</f>
        <v>3.2000000000000001E-2</v>
      </c>
      <c r="D18" s="82"/>
      <c r="E18" s="82"/>
      <c r="F18" s="82">
        <f>F17+C18</f>
        <v>0.45169655674365039</v>
      </c>
      <c r="G18" s="82"/>
      <c r="H18" s="27">
        <f>F18/A18</f>
        <v>0.2258482783718252</v>
      </c>
      <c r="I18" s="1">
        <f>C6*B18</f>
        <v>8</v>
      </c>
      <c r="J18" s="1">
        <f>F18*(I18+J17)</f>
        <v>52.061959383352267</v>
      </c>
      <c r="K18" s="27">
        <f>J18/A18</f>
        <v>26.030979691676134</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6.4246099489939512</v>
      </c>
      <c r="G20" s="95"/>
      <c r="H20" s="30">
        <f>F20/A20</f>
        <v>6.4246099489939512</v>
      </c>
      <c r="I20" s="1">
        <v>0</v>
      </c>
      <c r="J20" s="1">
        <f>C$8*F20</f>
        <v>1641.8894098842543</v>
      </c>
      <c r="K20" s="1">
        <f>J20/A20</f>
        <v>1641.8894098842543</v>
      </c>
    </row>
    <row r="21" spans="1:11" x14ac:dyDescent="0.3">
      <c r="A21" s="18">
        <f>'Passenger transport data'!H5</f>
        <v>3.5796199999999998</v>
      </c>
      <c r="B21" s="1">
        <f>C$7*A21</f>
        <v>286.36959999999999</v>
      </c>
      <c r="C21" s="76">
        <f>B21*C$5/100</f>
        <v>0.11454784</v>
      </c>
      <c r="D21" s="77"/>
      <c r="E21" s="78"/>
      <c r="F21" s="96">
        <f>F$20+C21</f>
        <v>6.5391577889939514</v>
      </c>
      <c r="G21" s="97"/>
      <c r="H21" s="27">
        <f t="shared" ref="H21:H23" si="6">F21/A21</f>
        <v>1.8267742914035434</v>
      </c>
      <c r="I21" s="1">
        <f>C$6*B21</f>
        <v>28.636960000000002</v>
      </c>
      <c r="J21" s="1">
        <f>F21*(I21+J$20)</f>
        <v>10923.835523348413</v>
      </c>
      <c r="K21" s="27">
        <f t="shared" ref="K21:K23" si="7">J21/A21</f>
        <v>3051.6746256162423</v>
      </c>
    </row>
    <row r="22" spans="1:11" x14ac:dyDescent="0.3">
      <c r="A22" s="18">
        <f>'Passenger transport data'!I5</f>
        <v>11.256666666666666</v>
      </c>
      <c r="B22" s="1">
        <f t="shared" ref="B22:B23" si="8">C$7*A22</f>
        <v>900.5333333333333</v>
      </c>
      <c r="C22" s="76">
        <f t="shared" ref="C22:C23" si="9">B22*C$5/100</f>
        <v>0.36021333333333333</v>
      </c>
      <c r="D22" s="77"/>
      <c r="E22" s="78"/>
      <c r="F22" s="76">
        <f>F$20+C22</f>
        <v>6.7848232823272845</v>
      </c>
      <c r="G22" s="78"/>
      <c r="H22" s="27">
        <f t="shared" si="6"/>
        <v>0.60273822466632676</v>
      </c>
      <c r="I22" s="1">
        <f t="shared" ref="I22:I23" si="10">C$6*B22</f>
        <v>90.053333333333342</v>
      </c>
      <c r="J22" s="1">
        <f t="shared" ref="J22:J23" si="11">F22*(I22+J$20)</f>
        <v>11750.925447840475</v>
      </c>
      <c r="K22" s="27">
        <f t="shared" si="7"/>
        <v>1043.9080942706967</v>
      </c>
    </row>
    <row r="23" spans="1:11" x14ac:dyDescent="0.3">
      <c r="A23" s="18">
        <f>'Passenger transport data'!J5</f>
        <v>18.93371333333333</v>
      </c>
      <c r="B23" s="1">
        <f t="shared" si="8"/>
        <v>1514.6970666666664</v>
      </c>
      <c r="C23" s="76">
        <f t="shared" si="9"/>
        <v>0.60587882666666659</v>
      </c>
      <c r="D23" s="77"/>
      <c r="E23" s="78"/>
      <c r="F23" s="76">
        <f t="shared" ref="F23" si="12">F$20+C23</f>
        <v>7.0304887756606176</v>
      </c>
      <c r="G23" s="78"/>
      <c r="H23" s="27">
        <f t="shared" si="6"/>
        <v>0.37132117994430847</v>
      </c>
      <c r="I23" s="1">
        <f t="shared" si="10"/>
        <v>151.46970666666664</v>
      </c>
      <c r="J23" s="1">
        <f t="shared" si="11"/>
        <v>12608.191139639892</v>
      </c>
      <c r="K23" s="27">
        <f t="shared" si="7"/>
        <v>665.91222322157057</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20.106027010683331</v>
      </c>
      <c r="B26" s="1">
        <f>C$7*A26</f>
        <v>1608.4821608546665</v>
      </c>
      <c r="C26" s="76">
        <f>B26*C$5/100</f>
        <v>0.6433928643418666</v>
      </c>
      <c r="D26" s="77"/>
      <c r="E26" s="78"/>
      <c r="F26" s="79">
        <f>F$25+C26</f>
        <v>19.867782864341869</v>
      </c>
      <c r="G26" s="80"/>
      <c r="H26" s="27">
        <f t="shared" ref="H26:H28" si="13">F26/A26</f>
        <v>0.98815061045054453</v>
      </c>
      <c r="I26" s="1">
        <f>C$6*B26</f>
        <v>160.84821608546667</v>
      </c>
      <c r="J26" s="1">
        <f>F26*(I26+J$25)</f>
        <v>105004.17716304986</v>
      </c>
      <c r="K26" s="27">
        <f t="shared" ref="K26:K28" si="14">J26/A26</f>
        <v>5222.5224360464608</v>
      </c>
    </row>
    <row r="27" spans="1:11" x14ac:dyDescent="0.3">
      <c r="A27" s="37">
        <f>'Passenger transport data'!I7</f>
        <v>63.226500033595379</v>
      </c>
      <c r="B27" s="1">
        <f t="shared" ref="B27" si="15">C$7*A27</f>
        <v>5058.1200026876304</v>
      </c>
      <c r="C27" s="76">
        <f t="shared" ref="C27:C28" si="16">B27*C$5/100</f>
        <v>2.0232480010750522</v>
      </c>
      <c r="D27" s="77"/>
      <c r="E27" s="78"/>
      <c r="F27" s="79">
        <f t="shared" ref="F27:F28" si="17">F$25+C27</f>
        <v>21.247638001075057</v>
      </c>
      <c r="G27" s="80"/>
      <c r="H27" s="27">
        <f t="shared" si="13"/>
        <v>0.33605589412327319</v>
      </c>
      <c r="I27" s="1">
        <f t="shared" ref="I27" si="18">C$6*B27</f>
        <v>505.81200026876309</v>
      </c>
      <c r="J27" s="1">
        <f t="shared" ref="J27:J28" si="19">F27*(I27+J$25)</f>
        <v>119626.5816872193</v>
      </c>
      <c r="K27" s="27">
        <f t="shared" si="14"/>
        <v>1892.0323222644897</v>
      </c>
    </row>
    <row r="28" spans="1:11" x14ac:dyDescent="0.3">
      <c r="A28" s="37">
        <f>'Passenger transport data'!J7</f>
        <v>106.34697305650741</v>
      </c>
      <c r="B28" s="1">
        <f>C$7*A28</f>
        <v>8507.7578445205927</v>
      </c>
      <c r="C28" s="76">
        <f t="shared" si="16"/>
        <v>3.403103137808237</v>
      </c>
      <c r="D28" s="77"/>
      <c r="E28" s="78"/>
      <c r="F28" s="79">
        <f t="shared" si="17"/>
        <v>22.627493137808241</v>
      </c>
      <c r="G28" s="80"/>
      <c r="H28" s="27">
        <f t="shared" si="13"/>
        <v>0.21277044834915174</v>
      </c>
      <c r="I28" s="1">
        <f>C$6*B28</f>
        <v>850.77578445205927</v>
      </c>
      <c r="J28" s="1">
        <f t="shared" si="19"/>
        <v>135200.98631057318</v>
      </c>
      <c r="K28" s="27">
        <f t="shared" si="14"/>
        <v>1271.3195535780244</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255.56250463755586</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164</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0.3028405358940543</v>
      </c>
      <c r="G11" s="98"/>
      <c r="H11" s="27">
        <f>F11/A11</f>
        <v>0.3028405358940543</v>
      </c>
      <c r="I11" s="1">
        <v>0</v>
      </c>
      <c r="J11" s="1">
        <f>C$8*F11</f>
        <v>49.665847886624903</v>
      </c>
      <c r="K11" s="27">
        <f>J11/A11</f>
        <v>49.665847886624903</v>
      </c>
    </row>
    <row r="12" spans="1:11" x14ac:dyDescent="0.3">
      <c r="A12" s="1">
        <v>2</v>
      </c>
      <c r="B12" s="1">
        <f>B11+C$7</f>
        <v>70</v>
      </c>
      <c r="C12" s="82">
        <f t="shared" ref="C12:C15" si="0">C$4*B12/100</f>
        <v>5.9500000000000004E-3</v>
      </c>
      <c r="D12" s="82"/>
      <c r="E12" s="82"/>
      <c r="F12" s="82">
        <f>F$11+C12</f>
        <v>0.30879053589405431</v>
      </c>
      <c r="G12" s="82"/>
      <c r="H12" s="27">
        <f t="shared" ref="H12:H15" si="1">F12/A12</f>
        <v>0.15439526794702715</v>
      </c>
      <c r="I12" s="1">
        <f>C$6*B12</f>
        <v>1.9599999999999997</v>
      </c>
      <c r="J12" s="1">
        <f>F12*(I12+J$11)</f>
        <v>15.941573234895834</v>
      </c>
      <c r="K12" s="27">
        <f t="shared" ref="K12:K15" si="2">J12/A12</f>
        <v>7.9707866174479172</v>
      </c>
    </row>
    <row r="13" spans="1:11" x14ac:dyDescent="0.3">
      <c r="A13" s="1">
        <v>3</v>
      </c>
      <c r="B13" s="1">
        <f t="shared" ref="B13:B15" si="3">B12+C$7</f>
        <v>140</v>
      </c>
      <c r="C13" s="82">
        <f t="shared" si="0"/>
        <v>1.1900000000000001E-2</v>
      </c>
      <c r="D13" s="82"/>
      <c r="E13" s="82"/>
      <c r="F13" s="82">
        <f t="shared" ref="F13:F15" si="4">F$11+C13</f>
        <v>0.31474053589405432</v>
      </c>
      <c r="G13" s="82"/>
      <c r="H13" s="27">
        <f t="shared" si="1"/>
        <v>0.10491351196468478</v>
      </c>
      <c r="I13" s="1">
        <f t="shared" ref="I13:I15" si="5">C$6*B13</f>
        <v>3.9199999999999995</v>
      </c>
      <c r="J13" s="1">
        <f t="shared" ref="J13:J15" si="6">F13*(I13+J$11)</f>
        <v>16.865638480173601</v>
      </c>
      <c r="K13" s="27">
        <f t="shared" si="2"/>
        <v>5.6218794933912006</v>
      </c>
    </row>
    <row r="14" spans="1:11" x14ac:dyDescent="0.3">
      <c r="A14" s="1">
        <v>4</v>
      </c>
      <c r="B14" s="1">
        <f t="shared" si="3"/>
        <v>210</v>
      </c>
      <c r="C14" s="82">
        <f t="shared" si="0"/>
        <v>1.7850000000000001E-2</v>
      </c>
      <c r="D14" s="82"/>
      <c r="E14" s="82"/>
      <c r="F14" s="82">
        <f t="shared" si="4"/>
        <v>0.32069053589405427</v>
      </c>
      <c r="G14" s="82"/>
      <c r="H14" s="27">
        <f t="shared" si="1"/>
        <v>8.0172633973513568E-2</v>
      </c>
      <c r="I14" s="1">
        <f t="shared" si="5"/>
        <v>5.879999999999999</v>
      </c>
      <c r="J14" s="1">
        <f t="shared" si="6"/>
        <v>17.813027725451359</v>
      </c>
      <c r="K14" s="27">
        <f t="shared" si="2"/>
        <v>4.4532569313628398</v>
      </c>
    </row>
    <row r="15" spans="1:11" x14ac:dyDescent="0.3">
      <c r="A15" s="1">
        <v>5</v>
      </c>
      <c r="B15" s="1">
        <f t="shared" si="3"/>
        <v>280</v>
      </c>
      <c r="C15" s="82">
        <f t="shared" si="0"/>
        <v>2.3800000000000002E-2</v>
      </c>
      <c r="D15" s="82"/>
      <c r="E15" s="82"/>
      <c r="F15" s="82">
        <f t="shared" si="4"/>
        <v>0.32664053589405428</v>
      </c>
      <c r="G15" s="82"/>
      <c r="H15" s="27">
        <f t="shared" si="1"/>
        <v>6.5328107178810851E-2</v>
      </c>
      <c r="I15" s="1">
        <f t="shared" si="5"/>
        <v>7.839999999999999</v>
      </c>
      <c r="J15" s="1">
        <f t="shared" si="6"/>
        <v>18.783740970729127</v>
      </c>
      <c r="K15" s="27">
        <f t="shared" si="2"/>
        <v>3.7567481941458256</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0.42286253033299104</v>
      </c>
      <c r="G17" s="95"/>
      <c r="H17" s="27">
        <f>F17/A17</f>
        <v>0.42286253033299104</v>
      </c>
      <c r="I17" s="1">
        <v>0</v>
      </c>
      <c r="J17" s="1">
        <f>F17*(0.5*C$8+0.5*F$6)</f>
        <v>88.708631171942088</v>
      </c>
      <c r="K17" s="27">
        <f>J17/A17</f>
        <v>88.708631171942088</v>
      </c>
    </row>
    <row r="18" spans="1:11" x14ac:dyDescent="0.3">
      <c r="A18" s="1">
        <v>2</v>
      </c>
      <c r="B18" s="1">
        <f>C$7+B17</f>
        <v>70</v>
      </c>
      <c r="C18" s="76">
        <f>B18*(0.5*C$4+0.5*'Transport c&amp;e fuel vehicles'!C$5)/100</f>
        <v>1.6975000000000001E-2</v>
      </c>
      <c r="D18" s="77"/>
      <c r="E18" s="78"/>
      <c r="F18" s="76">
        <f>F$17+C18</f>
        <v>0.43983753033299106</v>
      </c>
      <c r="G18" s="78"/>
      <c r="H18" s="27">
        <f t="shared" ref="H18:H21" si="7">F18/A18</f>
        <v>0.21991876516649553</v>
      </c>
      <c r="I18" s="1">
        <f>B18*(0.5*C$6+0.5*'Transport c&amp;e fuel vehicles'!C$6)/100</f>
        <v>4.4800000000000006E-2</v>
      </c>
      <c r="J18" s="1">
        <f>F18*(I18+J$17)</f>
        <v>39.037089975246111</v>
      </c>
      <c r="K18" s="27">
        <f t="shared" ref="K18:K21" si="8">J18/A18</f>
        <v>19.518544987623056</v>
      </c>
    </row>
    <row r="19" spans="1:11" x14ac:dyDescent="0.3">
      <c r="A19" s="1">
        <v>3</v>
      </c>
      <c r="B19" s="1">
        <f t="shared" ref="B19:B21" si="9">C$7+B18</f>
        <v>140</v>
      </c>
      <c r="C19" s="76">
        <f>B19*(0.5*C$4+0.5*'Transport c&amp;e fuel vehicles'!C$5)/100</f>
        <v>3.3950000000000001E-2</v>
      </c>
      <c r="D19" s="77"/>
      <c r="E19" s="78"/>
      <c r="F19" s="76">
        <f t="shared" ref="F19:F21" si="10">F$17+C19</f>
        <v>0.45681253033299102</v>
      </c>
      <c r="G19" s="78"/>
      <c r="H19" s="27">
        <f t="shared" si="7"/>
        <v>0.15227084344433034</v>
      </c>
      <c r="I19" s="1">
        <f>B19*(0.5*C$6+0.5*'Transport c&amp;e fuel vehicles'!C$6)/100</f>
        <v>8.9600000000000013E-2</v>
      </c>
      <c r="J19" s="1">
        <f t="shared" ref="J19:J21" si="11">F19*(I19+J$17)</f>
        <v>40.564144670748746</v>
      </c>
      <c r="K19" s="27">
        <f t="shared" si="8"/>
        <v>13.521381556916248</v>
      </c>
    </row>
    <row r="20" spans="1:11" x14ac:dyDescent="0.3">
      <c r="A20" s="1">
        <v>4</v>
      </c>
      <c r="B20" s="1">
        <f t="shared" si="9"/>
        <v>210</v>
      </c>
      <c r="C20" s="76">
        <f>B20*(0.5*C$4+0.5*'Transport c&amp;e fuel vehicles'!C$5)/100</f>
        <v>5.0925000000000005E-2</v>
      </c>
      <c r="D20" s="77"/>
      <c r="E20" s="78"/>
      <c r="F20" s="76">
        <f t="shared" si="10"/>
        <v>0.47378753033299104</v>
      </c>
      <c r="G20" s="78"/>
      <c r="H20" s="27">
        <f t="shared" si="7"/>
        <v>0.11844688258324776</v>
      </c>
      <c r="I20" s="1">
        <f>B20*(0.5*C$6+0.5*'Transport c&amp;e fuel vehicles'!C$6)/100</f>
        <v>0.13439999999999999</v>
      </c>
      <c r="J20" s="1">
        <f t="shared" si="11"/>
        <v>42.092720326251381</v>
      </c>
      <c r="K20" s="27">
        <f t="shared" si="8"/>
        <v>10.523180081562845</v>
      </c>
    </row>
    <row r="21" spans="1:11" x14ac:dyDescent="0.3">
      <c r="A21" s="1">
        <v>5</v>
      </c>
      <c r="B21" s="1">
        <f t="shared" si="9"/>
        <v>280</v>
      </c>
      <c r="C21" s="76">
        <f>B21*(0.5*C$4+0.5*'Transport c&amp;e fuel vehicles'!C$5)/100</f>
        <v>6.7900000000000002E-2</v>
      </c>
      <c r="D21" s="77"/>
      <c r="E21" s="78"/>
      <c r="F21" s="76">
        <f t="shared" si="10"/>
        <v>0.49076253033299105</v>
      </c>
      <c r="G21" s="78"/>
      <c r="H21" s="27">
        <f t="shared" si="7"/>
        <v>9.8152506066598214E-2</v>
      </c>
      <c r="I21" s="1">
        <f>B21*(0.5*C$6+0.5*'Transport c&amp;e fuel vehicles'!C$6)/100</f>
        <v>0.17920000000000003</v>
      </c>
      <c r="J21" s="1">
        <f t="shared" si="11"/>
        <v>43.622816941754017</v>
      </c>
      <c r="K21" s="27">
        <f t="shared" si="8"/>
        <v>8.7245633883508038</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0.12254477498968709</v>
      </c>
      <c r="G23" s="98"/>
      <c r="H23" s="27">
        <f>F23/A23</f>
        <v>0.12254477498968709</v>
      </c>
      <c r="I23" s="1">
        <v>0</v>
      </c>
      <c r="J23" s="1">
        <f>C$8*F23</f>
        <v>20.097343098308684</v>
      </c>
      <c r="K23" s="27">
        <f>J23/A23</f>
        <v>20.097343098308684</v>
      </c>
    </row>
    <row r="24" spans="1:11" x14ac:dyDescent="0.3">
      <c r="A24" s="1">
        <v>2</v>
      </c>
      <c r="B24" s="1">
        <f>C7+B23</f>
        <v>70</v>
      </c>
      <c r="C24" s="82">
        <f>C$5*B24/100</f>
        <v>0</v>
      </c>
      <c r="D24" s="82"/>
      <c r="E24" s="82"/>
      <c r="F24" s="82">
        <f>F23+C24</f>
        <v>0.12254477498968709</v>
      </c>
      <c r="G24" s="82"/>
      <c r="H24" s="27">
        <f>F24/A24</f>
        <v>6.1272387494843546E-2</v>
      </c>
      <c r="I24" s="1">
        <f>C6*B24</f>
        <v>1.9599999999999997</v>
      </c>
      <c r="J24" s="1">
        <f>F24*(I24+J23)</f>
        <v>2.7030121468525654</v>
      </c>
      <c r="K24" s="27">
        <f>J24/A24</f>
        <v>1.3515060734262827</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1.1004379938010695E-2</v>
      </c>
      <c r="G26" s="95"/>
      <c r="H26" s="27">
        <f>F26/A26</f>
        <v>1.1004379938010695E-2</v>
      </c>
      <c r="I26" s="1">
        <v>0</v>
      </c>
      <c r="J26" s="1">
        <f>C$8*F26</f>
        <v>1.804718309833754</v>
      </c>
      <c r="K26" s="27">
        <f>J26/A26</f>
        <v>1.804718309833754</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2.3857495705607187E-2</v>
      </c>
      <c r="G28" s="95"/>
      <c r="H28" s="27">
        <f>F28/A28</f>
        <v>2.3857495705607187E-2</v>
      </c>
      <c r="I28" s="1">
        <v>0</v>
      </c>
      <c r="J28" s="1">
        <f>C$8*F28</f>
        <v>3.9126292957195785</v>
      </c>
      <c r="K28" s="27">
        <f>J28/A28</f>
        <v>3.9126292957195785</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4.535011132891885</v>
      </c>
      <c r="G30" s="95"/>
      <c r="H30" s="2">
        <f>F30/A30</f>
        <v>4.535011132891885</v>
      </c>
      <c r="I30" s="1">
        <v>0</v>
      </c>
      <c r="J30" s="1">
        <f>C$8*F30</f>
        <v>743.74182579426918</v>
      </c>
      <c r="K30" s="27">
        <f>J30/A30</f>
        <v>743.74182579426918</v>
      </c>
    </row>
    <row r="31" spans="1:11" x14ac:dyDescent="0.3">
      <c r="A31" s="18">
        <f>'Passenger transport data'!H6</f>
        <v>22.11662971175166</v>
      </c>
      <c r="B31" s="1">
        <f>C$7*A31</f>
        <v>1548.1640798226163</v>
      </c>
      <c r="C31" s="76">
        <f t="shared" ref="C31:C33" si="12">C$4*B31/100</f>
        <v>0.13159394678492239</v>
      </c>
      <c r="D31" s="77"/>
      <c r="E31" s="78"/>
      <c r="F31" s="76">
        <f>F$30+C31</f>
        <v>4.666605079676807</v>
      </c>
      <c r="G31" s="78"/>
      <c r="H31" s="27">
        <f t="shared" ref="H31:H33" si="13">F31/A31</f>
        <v>0.2109998286582159</v>
      </c>
      <c r="I31" s="1">
        <f>C$6*B31</f>
        <v>43.348594235033254</v>
      </c>
      <c r="J31" s="1">
        <f>F31*(I31+J$30)</f>
        <v>3673.0401522736943</v>
      </c>
      <c r="K31" s="27">
        <f t="shared" ref="K31:K33" si="14">J31/A31</f>
        <v>166.07594376470598</v>
      </c>
    </row>
    <row r="32" spans="1:11" x14ac:dyDescent="0.3">
      <c r="A32" s="18">
        <f>'Passenger transport data'!I6</f>
        <v>69.549150036954913</v>
      </c>
      <c r="B32" s="1">
        <f>C$7*A32</f>
        <v>4868.4405025868436</v>
      </c>
      <c r="C32" s="76">
        <f t="shared" si="12"/>
        <v>0.41381744271988175</v>
      </c>
      <c r="D32" s="77"/>
      <c r="E32" s="78"/>
      <c r="F32" s="76">
        <f t="shared" ref="F32:F33" si="15">F$30+C32</f>
        <v>4.9488285756117669</v>
      </c>
      <c r="G32" s="78"/>
      <c r="H32" s="27">
        <f t="shared" si="13"/>
        <v>7.1155845513312652E-2</v>
      </c>
      <c r="I32" s="1">
        <f t="shared" ref="I32:I33" si="16">C$6*B32</f>
        <v>136.3163340724316</v>
      </c>
      <c r="J32" s="1">
        <f t="shared" ref="J32:J33" si="17">F32*(I32+J$30)</f>
        <v>4355.2569697486369</v>
      </c>
      <c r="K32" s="27">
        <f t="shared" si="14"/>
        <v>62.621282466205166</v>
      </c>
    </row>
    <row r="33" spans="1:11" x14ac:dyDescent="0.3">
      <c r="A33" s="18">
        <f>'Passenger transport data'!J6</f>
        <v>116.98167036215814</v>
      </c>
      <c r="B33" s="1">
        <f>C$7*A33</f>
        <v>8188.7169253510701</v>
      </c>
      <c r="C33" s="76">
        <f t="shared" si="12"/>
        <v>0.69604093865484107</v>
      </c>
      <c r="D33" s="77"/>
      <c r="E33" s="78"/>
      <c r="F33" s="76">
        <f t="shared" si="15"/>
        <v>5.2310520715467259</v>
      </c>
      <c r="G33" s="78"/>
      <c r="H33" s="27">
        <f t="shared" si="13"/>
        <v>4.471685226713E-2</v>
      </c>
      <c r="I33" s="1">
        <f t="shared" si="16"/>
        <v>229.28407390982994</v>
      </c>
      <c r="J33" s="1">
        <f t="shared" si="17"/>
        <v>5089.9491483157444</v>
      </c>
      <c r="K33" s="27">
        <f t="shared" si="14"/>
        <v>43.510655409159455</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14.028268333372012</v>
      </c>
      <c r="G35" s="95"/>
      <c r="H35" s="2">
        <f>F35/A35</f>
        <v>14.028268333372012</v>
      </c>
      <c r="I35" s="1">
        <v>0</v>
      </c>
      <c r="J35" s="34">
        <f>C$8*F35</f>
        <v>2300.6360066730099</v>
      </c>
      <c r="K35" s="27">
        <f>J35/A35</f>
        <v>2300.6360066730099</v>
      </c>
    </row>
    <row r="36" spans="1:11" x14ac:dyDescent="0.3">
      <c r="A36" s="18">
        <f>'Passenger transport data'!H7</f>
        <v>20.106027010683331</v>
      </c>
      <c r="B36" s="1">
        <f>C$7*A36</f>
        <v>1407.4218907478332</v>
      </c>
      <c r="C36" s="76">
        <f t="shared" ref="C36:C38" si="18">C$4*B36/100</f>
        <v>0.11963086071356584</v>
      </c>
      <c r="D36" s="77"/>
      <c r="E36" s="78"/>
      <c r="F36" s="76">
        <f>F$35+C36</f>
        <v>14.147899194085577</v>
      </c>
      <c r="G36" s="78"/>
      <c r="H36" s="27">
        <f t="shared" ref="H36:H38" si="19">F36/A36</f>
        <v>0.70366458706974255</v>
      </c>
      <c r="I36" s="1">
        <f>C$6*B36</f>
        <v>39.40781294093933</v>
      </c>
      <c r="J36" s="34">
        <f>F36*(I36+J$35)</f>
        <v>33106.704069641128</v>
      </c>
      <c r="K36" s="27">
        <f t="shared" ref="K36:K38" si="20">J36/A36</f>
        <v>1646.6059680537528</v>
      </c>
    </row>
    <row r="37" spans="1:11" x14ac:dyDescent="0.3">
      <c r="A37" s="18">
        <f>'Passenger transport data'!I7</f>
        <v>63.226500033595379</v>
      </c>
      <c r="B37" s="1">
        <f t="shared" ref="B37:B38" si="21">C$7*A37</f>
        <v>4425.8550023516764</v>
      </c>
      <c r="C37" s="76">
        <f t="shared" si="18"/>
        <v>0.37619767519989256</v>
      </c>
      <c r="D37" s="77"/>
      <c r="E37" s="78"/>
      <c r="F37" s="76">
        <f t="shared" ref="F37:F38" si="22">F$35+C37</f>
        <v>14.404466008571903</v>
      </c>
      <c r="G37" s="78"/>
      <c r="H37" s="27">
        <f t="shared" si="19"/>
        <v>0.22782323868817814</v>
      </c>
      <c r="I37" s="1">
        <f t="shared" ref="I37:I38" si="23">C$6*B37</f>
        <v>123.92394006584692</v>
      </c>
      <c r="J37" s="34">
        <f t="shared" ref="J37:J38" si="24">F37*(I37+J$35)</f>
        <v>34924.491338544773</v>
      </c>
      <c r="K37" s="27">
        <f t="shared" si="20"/>
        <v>552.37109945968314</v>
      </c>
    </row>
    <row r="38" spans="1:11" x14ac:dyDescent="0.3">
      <c r="A38" s="18">
        <f>'Passenger transport data'!J7</f>
        <v>106.34697305650741</v>
      </c>
      <c r="B38" s="1">
        <f t="shared" si="21"/>
        <v>7444.2881139555184</v>
      </c>
      <c r="C38" s="76">
        <f t="shared" si="18"/>
        <v>0.63276448968621912</v>
      </c>
      <c r="D38" s="77"/>
      <c r="E38" s="78"/>
      <c r="F38" s="76">
        <f t="shared" si="22"/>
        <v>14.66103282305823</v>
      </c>
      <c r="G38" s="78"/>
      <c r="H38" s="27">
        <f t="shared" si="19"/>
        <v>0.1378603678288812</v>
      </c>
      <c r="I38" s="1">
        <f t="shared" si="23"/>
        <v>208.44006719075449</v>
      </c>
      <c r="J38" s="34">
        <f t="shared" si="24"/>
        <v>36785.646674466727</v>
      </c>
      <c r="K38" s="27">
        <f t="shared" si="20"/>
        <v>345.90215045350368</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0.3028405358940543</v>
      </c>
    </row>
    <row r="8" spans="1:6" x14ac:dyDescent="0.3">
      <c r="B8" s="1" t="s">
        <v>99</v>
      </c>
      <c r="C8" s="1">
        <v>6.96</v>
      </c>
      <c r="D8" s="1">
        <f t="shared" ref="D8:D10" si="0">C8/100</f>
        <v>6.9599999999999995E-2</v>
      </c>
      <c r="E8" s="1">
        <f>D8/D$7</f>
        <v>0.40465116279069768</v>
      </c>
      <c r="F8" s="1">
        <f>F$7*E8</f>
        <v>0.12254477498968709</v>
      </c>
    </row>
    <row r="9" spans="1:6" x14ac:dyDescent="0.3">
      <c r="B9" s="1" t="s">
        <v>100</v>
      </c>
      <c r="C9" s="1">
        <v>0.625</v>
      </c>
      <c r="D9" s="1">
        <f t="shared" si="0"/>
        <v>6.2500000000000003E-3</v>
      </c>
      <c r="E9" s="1">
        <f>D9/D$7</f>
        <v>3.6337209302325583E-2</v>
      </c>
      <c r="F9" s="1">
        <f t="shared" ref="F9:F10" si="1">F$7*E9</f>
        <v>1.1004379938010695E-2</v>
      </c>
    </row>
    <row r="10" spans="1:6" x14ac:dyDescent="0.3">
      <c r="B10" s="1" t="s">
        <v>101</v>
      </c>
      <c r="C10" s="1">
        <v>1.355</v>
      </c>
      <c r="D10" s="1">
        <f t="shared" si="0"/>
        <v>1.355E-2</v>
      </c>
      <c r="E10" s="1">
        <f>D10/D$7</f>
        <v>7.8779069767441867E-2</v>
      </c>
      <c r="F10" s="1">
        <f t="shared" si="1"/>
        <v>2.3857495705607187E-2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2022-06-27T11:18:25Z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