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1" documentId="8_{4C372892-E9C3-428B-950B-C5A505A38EBC}" xr6:coauthVersionLast="47" xr6:coauthVersionMax="47" xr10:uidLastSave="{060823ED-CB9C-4D33-ACFE-AC89E1EFD3F6}"/>
  <bookViews>
    <workbookView xWindow="1152" yWindow="1152" windowWidth="14712" windowHeight="8880" firstSheet="3" activeTab="3"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 i="11" l="1"/>
  <c r="C15" i="11"/>
  <c r="B33" i="4" l="1"/>
  <c r="B32" i="4"/>
  <c r="B31" i="4"/>
  <c r="B27" i="4"/>
  <c r="B26" i="4"/>
  <c r="B25" i="4"/>
  <c r="B24" i="4"/>
  <c r="B22" i="4"/>
  <c r="B21" i="4"/>
  <c r="B20" i="4"/>
  <c r="B16" i="4"/>
  <c r="B15" i="4"/>
  <c r="B13" i="4"/>
  <c r="B12" i="4"/>
  <c r="B11" i="4"/>
  <c r="B10" i="4"/>
  <c r="B8" i="4"/>
  <c r="B6" i="4"/>
  <c r="D10" i="1"/>
  <c r="B10" i="1"/>
  <c r="B4" i="1" l="1"/>
  <c r="B3" i="1"/>
  <c r="H6" i="12"/>
  <c r="H4" i="12" l="1"/>
  <c r="K6" i="10" l="1"/>
  <c r="G5" i="10"/>
  <c r="F8" i="10"/>
  <c r="C11" i="11"/>
  <c r="E5" i="11" l="1"/>
  <c r="C8" i="10"/>
  <c r="I6" i="10"/>
  <c r="C5" i="10"/>
  <c r="C26" i="10" s="1"/>
  <c r="I4" i="10"/>
  <c r="F25" i="8"/>
  <c r="C25" i="8"/>
  <c r="C11" i="10" l="1"/>
  <c r="C31" i="10"/>
  <c r="C16" i="10"/>
  <c r="C21" i="10"/>
  <c r="H25" i="8"/>
  <c r="D25" i="4"/>
  <c r="B10" i="12" s="1"/>
  <c r="D15" i="4"/>
  <c r="D11" i="1"/>
  <c r="B11" i="1"/>
  <c r="H5" i="12" l="1"/>
  <c r="C10" i="12" s="1"/>
  <c r="F8" i="8"/>
  <c r="J25" i="8" s="1"/>
  <c r="K25" i="8" s="1"/>
  <c r="D3" i="1"/>
  <c r="E6" i="3" s="1"/>
  <c r="C6" i="3" s="1"/>
  <c r="D4" i="1"/>
  <c r="E7" i="3" l="1"/>
  <c r="C7" i="3" l="1"/>
  <c r="B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28" i="10"/>
  <c r="B28" i="10" s="1"/>
  <c r="A33" i="10"/>
  <c r="B33" i="10" s="1"/>
  <c r="A13" i="10"/>
  <c r="B13" i="10" s="1"/>
  <c r="A18" i="10"/>
  <c r="B18" i="10" s="1"/>
  <c r="A23" i="10"/>
  <c r="B23"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6" i="9"/>
  <c r="B36" i="9" s="1"/>
  <c r="A37" i="12"/>
  <c r="A26" i="8"/>
  <c r="B26" i="8" s="1"/>
  <c r="I27" i="8"/>
  <c r="C27" i="8"/>
  <c r="F27" i="8" s="1"/>
  <c r="A38" i="9"/>
  <c r="B38" i="9" s="1"/>
  <c r="A39" i="12"/>
  <c r="A28" i="8"/>
  <c r="B28" i="8" s="1"/>
  <c r="A42" i="12"/>
  <c r="A33" i="9"/>
  <c r="B33" i="9" s="1"/>
  <c r="A51" i="12"/>
  <c r="A31" i="9"/>
  <c r="B31" i="9" s="1"/>
  <c r="I31" i="9" s="1"/>
  <c r="A49" i="12"/>
  <c r="I23" i="10"/>
  <c r="C23" i="10"/>
  <c r="C18" i="10"/>
  <c r="I18" i="10"/>
  <c r="C33" i="10"/>
  <c r="I33" i="10"/>
  <c r="A21" i="8"/>
  <c r="B21" i="8" s="1"/>
  <c r="I21" i="8" s="1"/>
  <c r="A17" i="12"/>
  <c r="A22" i="10"/>
  <c r="B22" i="10" s="1"/>
  <c r="A32" i="10"/>
  <c r="B32" i="10" s="1"/>
  <c r="A12" i="10"/>
  <c r="B12" i="10" s="1"/>
  <c r="A17" i="10"/>
  <c r="B17" i="10" s="1"/>
  <c r="A27" i="10"/>
  <c r="B27" i="10" s="1"/>
  <c r="A19" i="12"/>
  <c r="A34" i="10"/>
  <c r="B34" i="10" s="1"/>
  <c r="A19" i="10"/>
  <c r="B19" i="10" s="1"/>
  <c r="A14" i="10"/>
  <c r="B14" i="10" s="1"/>
  <c r="A24" i="10"/>
  <c r="B24" i="10" s="1"/>
  <c r="A29" i="10"/>
  <c r="B29" i="10" s="1"/>
  <c r="C28" i="10"/>
  <c r="I28" i="10"/>
  <c r="C13" i="10"/>
  <c r="I13" i="10"/>
  <c r="A26" i="12"/>
  <c r="A34" i="12"/>
  <c r="A30" i="12"/>
  <c r="A22" i="12"/>
  <c r="C43" i="9"/>
  <c r="I43" i="9"/>
  <c r="C42" i="9"/>
  <c r="C41" i="9"/>
  <c r="I38" i="9"/>
  <c r="C38" i="9"/>
  <c r="I37" i="9"/>
  <c r="C37" i="9"/>
  <c r="C36" i="9"/>
  <c r="I36" i="9"/>
  <c r="C32" i="9"/>
  <c r="I32" i="9"/>
  <c r="A23" i="8"/>
  <c r="B23" i="8" s="1"/>
  <c r="I23" i="8" s="1"/>
  <c r="C22" i="8"/>
  <c r="D29" i="4"/>
  <c r="D26" i="4"/>
  <c r="D27" i="4"/>
  <c r="D24" i="4"/>
  <c r="D17" i="4"/>
  <c r="D16" i="4"/>
  <c r="L6" i="10" s="1"/>
  <c r="D10" i="4"/>
  <c r="F11" i="8" s="1"/>
  <c r="D11" i="4"/>
  <c r="F17" i="9" s="1"/>
  <c r="D12" i="4"/>
  <c r="D13" i="4"/>
  <c r="D8" i="4"/>
  <c r="F17" i="8" s="1"/>
  <c r="F40" i="9" l="1"/>
  <c r="H40" i="9" s="1"/>
  <c r="B11" i="12"/>
  <c r="B46" i="12" s="1"/>
  <c r="F35" i="9"/>
  <c r="H35" i="9" s="1"/>
  <c r="B9" i="12"/>
  <c r="B38" i="12" s="1"/>
  <c r="F30" i="9"/>
  <c r="H30" i="9" s="1"/>
  <c r="B12" i="12"/>
  <c r="B50" i="12" s="1"/>
  <c r="B49" i="12"/>
  <c r="B51" i="12"/>
  <c r="I28" i="8"/>
  <c r="C28" i="8"/>
  <c r="F28" i="8" s="1"/>
  <c r="H27" i="8"/>
  <c r="J27" i="8"/>
  <c r="K27" i="8" s="1"/>
  <c r="A43" i="12"/>
  <c r="I26" i="8"/>
  <c r="C26" i="8"/>
  <c r="F26" i="8" s="1"/>
  <c r="A41" i="12"/>
  <c r="B42" i="12"/>
  <c r="C42" i="12"/>
  <c r="C31" i="9"/>
  <c r="F31" i="9" s="1"/>
  <c r="H31" i="9" s="1"/>
  <c r="F20" i="8"/>
  <c r="B4" i="12"/>
  <c r="B19" i="12" s="1"/>
  <c r="F11" i="10"/>
  <c r="H11" i="10" s="1"/>
  <c r="F31" i="10"/>
  <c r="H31" i="10" s="1"/>
  <c r="F26" i="10"/>
  <c r="F16" i="10"/>
  <c r="H16" i="10" s="1"/>
  <c r="F21" i="10"/>
  <c r="F23" i="10"/>
  <c r="H23" i="10" s="1"/>
  <c r="C21" i="8"/>
  <c r="A31" i="12"/>
  <c r="A35" i="12"/>
  <c r="A27" i="12"/>
  <c r="A23" i="12"/>
  <c r="A25" i="12"/>
  <c r="A33" i="12"/>
  <c r="A29" i="12"/>
  <c r="A21" i="12"/>
  <c r="C27" i="10"/>
  <c r="I27" i="10"/>
  <c r="I19" i="10"/>
  <c r="C19" i="10"/>
  <c r="I17" i="10"/>
  <c r="C17" i="10"/>
  <c r="I29" i="10"/>
  <c r="C29" i="10"/>
  <c r="C12" i="10"/>
  <c r="I12" i="10"/>
  <c r="I32" i="10"/>
  <c r="C32" i="10"/>
  <c r="I34" i="10"/>
  <c r="C34" i="10"/>
  <c r="I24" i="10"/>
  <c r="C24" i="10"/>
  <c r="F24" i="10" s="1"/>
  <c r="C14" i="10"/>
  <c r="I14" i="10"/>
  <c r="I22" i="10"/>
  <c r="C22" i="10"/>
  <c r="F22" i="10" s="1"/>
  <c r="C8" i="9"/>
  <c r="H3" i="12"/>
  <c r="C10" i="11"/>
  <c r="C8" i="8"/>
  <c r="J11" i="8" s="1"/>
  <c r="K11" i="8" s="1"/>
  <c r="F42" i="9"/>
  <c r="H42" i="9" s="1"/>
  <c r="F43" i="9"/>
  <c r="H43" i="9" s="1"/>
  <c r="F38" i="9"/>
  <c r="H38" i="9" s="1"/>
  <c r="F37" i="9"/>
  <c r="H37" i="9" s="1"/>
  <c r="F36" i="9"/>
  <c r="H36" i="9" s="1"/>
  <c r="F32" i="9"/>
  <c r="H32" i="9" s="1"/>
  <c r="H20" i="8"/>
  <c r="F21" i="8"/>
  <c r="F22" i="8"/>
  <c r="F11" i="9"/>
  <c r="F7" i="7"/>
  <c r="H17" i="9"/>
  <c r="F19" i="9"/>
  <c r="F20" i="9"/>
  <c r="F21" i="9"/>
  <c r="F18" i="9"/>
  <c r="H11" i="8"/>
  <c r="F13" i="8"/>
  <c r="F12" i="8"/>
  <c r="F14" i="8"/>
  <c r="F15" i="8"/>
  <c r="H17" i="8"/>
  <c r="F18" i="8"/>
  <c r="C23" i="8"/>
  <c r="F23" i="8" s="1"/>
  <c r="I33" i="9"/>
  <c r="C33" i="9"/>
  <c r="F33" i="9" s="1"/>
  <c r="E10" i="1"/>
  <c r="F34" i="10" l="1"/>
  <c r="H34" i="10" s="1"/>
  <c r="B17" i="12"/>
  <c r="B37" i="12"/>
  <c r="B47" i="12"/>
  <c r="F41" i="9"/>
  <c r="H41" i="9" s="1"/>
  <c r="B45" i="12"/>
  <c r="B39" i="12"/>
  <c r="B43" i="12"/>
  <c r="C43" i="12"/>
  <c r="H26" i="8"/>
  <c r="J26" i="8"/>
  <c r="K26" i="8" s="1"/>
  <c r="H28" i="8"/>
  <c r="J28" i="8"/>
  <c r="K28" i="8" s="1"/>
  <c r="B41" i="12"/>
  <c r="C41" i="12"/>
  <c r="J20" i="8"/>
  <c r="K20" i="8" s="1"/>
  <c r="J14" i="8"/>
  <c r="K14" i="8" s="1"/>
  <c r="J17" i="8"/>
  <c r="K17" i="8" s="1"/>
  <c r="J12" i="8"/>
  <c r="J26" i="10"/>
  <c r="K26" i="10" s="1"/>
  <c r="H26" i="10"/>
  <c r="F17" i="10"/>
  <c r="H17" i="10" s="1"/>
  <c r="F19" i="10"/>
  <c r="H19" i="10" s="1"/>
  <c r="F18" i="10"/>
  <c r="H18" i="10" s="1"/>
  <c r="B8" i="12"/>
  <c r="B7" i="12"/>
  <c r="B34" i="12" s="1"/>
  <c r="B6" i="12"/>
  <c r="B5" i="12"/>
  <c r="B22" i="12" s="1"/>
  <c r="B18" i="12"/>
  <c r="F28" i="10"/>
  <c r="F14" i="10"/>
  <c r="H14" i="10" s="1"/>
  <c r="F12" i="10"/>
  <c r="H12" i="10" s="1"/>
  <c r="F27" i="10"/>
  <c r="F33" i="10"/>
  <c r="H33" i="10" s="1"/>
  <c r="F32" i="10"/>
  <c r="H32" i="10" s="1"/>
  <c r="F29" i="10"/>
  <c r="B21" i="12"/>
  <c r="B35" i="12"/>
  <c r="H21" i="10"/>
  <c r="J21" i="10"/>
  <c r="K21" i="10" s="1"/>
  <c r="F13" i="10"/>
  <c r="H13" i="10" s="1"/>
  <c r="J15" i="8"/>
  <c r="K15" i="8" s="1"/>
  <c r="J13" i="8"/>
  <c r="K13" i="8" s="1"/>
  <c r="H22" i="10"/>
  <c r="H27" i="10"/>
  <c r="B27" i="12"/>
  <c r="H24" i="10"/>
  <c r="B25" i="12"/>
  <c r="H29" i="10"/>
  <c r="J30" i="9"/>
  <c r="J31" i="9" s="1"/>
  <c r="K31" i="9" s="1"/>
  <c r="J40" i="9"/>
  <c r="K40" i="9" s="1"/>
  <c r="J35" i="9"/>
  <c r="J38" i="9" s="1"/>
  <c r="K38" i="9" s="1"/>
  <c r="I8" i="10"/>
  <c r="E2" i="11"/>
  <c r="C12" i="12"/>
  <c r="C9" i="12"/>
  <c r="C11" i="12"/>
  <c r="H8" i="12"/>
  <c r="C5" i="12"/>
  <c r="H22" i="8"/>
  <c r="H21" i="8"/>
  <c r="J42" i="9"/>
  <c r="K42" i="9" s="1"/>
  <c r="J41" i="9"/>
  <c r="K41" i="9" s="1"/>
  <c r="F6" i="9"/>
  <c r="J17" i="9" s="1"/>
  <c r="J18" i="9" s="1"/>
  <c r="F8" i="7"/>
  <c r="F23" i="9" s="1"/>
  <c r="F9" i="7"/>
  <c r="F26" i="9" s="1"/>
  <c r="F10" i="7"/>
  <c r="F28" i="9" s="1"/>
  <c r="J11" i="9"/>
  <c r="H11" i="9"/>
  <c r="F12" i="9"/>
  <c r="F13" i="9"/>
  <c r="F14" i="9"/>
  <c r="F15" i="9"/>
  <c r="H20" i="9"/>
  <c r="H21" i="9"/>
  <c r="H19" i="9"/>
  <c r="H18" i="9"/>
  <c r="H13" i="8"/>
  <c r="H15" i="8"/>
  <c r="H12" i="8"/>
  <c r="K12" i="8"/>
  <c r="H14" i="8"/>
  <c r="H18" i="8"/>
  <c r="H23" i="8"/>
  <c r="H33" i="9"/>
  <c r="E9" i="3"/>
  <c r="E5" i="3"/>
  <c r="E3" i="3"/>
  <c r="C3" i="3" s="1"/>
  <c r="J27" i="10" l="1"/>
  <c r="K27" i="10" s="1"/>
  <c r="J23" i="8"/>
  <c r="K23" i="8" s="1"/>
  <c r="J29" i="10"/>
  <c r="K29" i="10" s="1"/>
  <c r="B33" i="12"/>
  <c r="C7" i="12"/>
  <c r="C35" i="12" s="1"/>
  <c r="K35" i="9"/>
  <c r="J22" i="8"/>
  <c r="K22" i="8" s="1"/>
  <c r="B23" i="12"/>
  <c r="J43" i="9"/>
  <c r="K43" i="9" s="1"/>
  <c r="J32" i="9"/>
  <c r="K32" i="9" s="1"/>
  <c r="J21" i="8"/>
  <c r="K21" i="8" s="1"/>
  <c r="J18" i="8"/>
  <c r="K18" i="8" s="1"/>
  <c r="C8" i="12"/>
  <c r="B30" i="12"/>
  <c r="H28" i="10"/>
  <c r="J28" i="10"/>
  <c r="K28" i="10" s="1"/>
  <c r="B31" i="12"/>
  <c r="B29" i="12"/>
  <c r="J22" i="10"/>
  <c r="K22" i="10" s="1"/>
  <c r="J24" i="10"/>
  <c r="K24" i="10" s="1"/>
  <c r="C6" i="12"/>
  <c r="B26" i="12"/>
  <c r="J23" i="10"/>
  <c r="K23" i="10" s="1"/>
  <c r="C34" i="12"/>
  <c r="C45" i="12"/>
  <c r="C47" i="12"/>
  <c r="C46" i="12"/>
  <c r="C50" i="12"/>
  <c r="C51" i="12"/>
  <c r="C49" i="12"/>
  <c r="K8" i="10"/>
  <c r="J31" i="10" s="1"/>
  <c r="H7" i="12"/>
  <c r="C4" i="12" s="1"/>
  <c r="K30" i="9"/>
  <c r="C39" i="12"/>
  <c r="C38" i="12"/>
  <c r="C37" i="12"/>
  <c r="J37" i="9"/>
  <c r="K37" i="9" s="1"/>
  <c r="J36" i="9"/>
  <c r="K36" i="9" s="1"/>
  <c r="J16" i="10"/>
  <c r="J11" i="10"/>
  <c r="J33" i="9"/>
  <c r="K33" i="9" s="1"/>
  <c r="C22" i="12"/>
  <c r="C23" i="12"/>
  <c r="C21" i="12"/>
  <c r="C9" i="3"/>
  <c r="C5" i="3"/>
  <c r="K11" i="9"/>
  <c r="J13" i="9"/>
  <c r="K13" i="9" s="1"/>
  <c r="J14" i="9"/>
  <c r="K14" i="9" s="1"/>
  <c r="J15" i="9"/>
  <c r="K15" i="9" s="1"/>
  <c r="J12" i="9"/>
  <c r="K12" i="9" s="1"/>
  <c r="K17" i="9"/>
  <c r="J20" i="9"/>
  <c r="K20" i="9" s="1"/>
  <c r="J21" i="9"/>
  <c r="K21" i="9" s="1"/>
  <c r="K18" i="9"/>
  <c r="J19" i="9"/>
  <c r="K19" i="9" s="1"/>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33" i="12" l="1"/>
  <c r="C26" i="12"/>
  <c r="C27" i="12"/>
  <c r="C25" i="12"/>
  <c r="C30" i="12"/>
  <c r="C29" i="12"/>
  <c r="C31" i="12"/>
  <c r="K11" i="10"/>
  <c r="J13" i="10"/>
  <c r="K13" i="10" s="1"/>
  <c r="J12" i="10"/>
  <c r="K12" i="10" s="1"/>
  <c r="J14" i="10"/>
  <c r="K14" i="10" s="1"/>
  <c r="C18" i="12"/>
  <c r="C17" i="12"/>
  <c r="C19" i="12"/>
  <c r="J17" i="10"/>
  <c r="K17" i="10" s="1"/>
  <c r="K16" i="10"/>
  <c r="J19" i="10"/>
  <c r="K19" i="10" s="1"/>
  <c r="J18" i="10"/>
  <c r="K18" i="10" s="1"/>
  <c r="K31" i="10"/>
  <c r="J34" i="10"/>
  <c r="K34" i="10" s="1"/>
  <c r="J33" i="10"/>
  <c r="K33" i="10" s="1"/>
  <c r="J32" i="10"/>
  <c r="K32" i="10" s="1"/>
  <c r="C13" i="3"/>
  <c r="E13" i="3"/>
  <c r="K23" i="9"/>
  <c r="J24" i="9"/>
  <c r="K24" i="9" s="1"/>
  <c r="H24" i="9"/>
  <c r="G7" i="3"/>
  <c r="F7" i="3"/>
  <c r="D7" i="3"/>
  <c r="D6" i="3"/>
  <c r="F6" i="3"/>
  <c r="B6" i="3"/>
  <c r="G6" i="3"/>
  <c r="E8" i="3"/>
  <c r="D4" i="3"/>
  <c r="D13" i="3" s="1"/>
  <c r="G4" i="3"/>
  <c r="G13" i="3" s="1"/>
  <c r="B4" i="3"/>
  <c r="B13" i="3" s="1"/>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<sst xmlns="http://schemas.openxmlformats.org/spreadsheetml/2006/main" count="307" uniqueCount="195">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</sst>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center" wrapText="1"/>
    </xf>
    <xf numFmtId="0" fontId="0" fillId="0" borderId="10" xfId="0"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0" xfId="0" applyBorder="1" applyAlignment="1">
      <alignment horizontal="center" vertical="center" wrapText="1"/>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1" xfId="0" applyFill="1" applyBorder="1" applyAlignment="1">
      <alignment horizontal="right"/>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DE/JRC-IDEES-2015_Residential_D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DE/JRC-IDEES-2015_Transport_D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6660.9997406133316</v>
          </cell>
        </row>
        <row r="162">
          <cell r="Q162">
            <v>953.35884592353898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refreshError="1"/>
      <sheetData sheetId="1" refreshError="1"/>
      <sheetData sheetId="2">
        <row r="30">
          <cell r="Q30">
            <v>44239.875842313297</v>
          </cell>
        </row>
        <row r="56">
          <cell r="Q56">
            <v>125465.34165042598</v>
          </cell>
        </row>
      </sheetData>
      <sheetData sheetId="3">
        <row r="150">
          <cell r="Q150">
            <v>19.502964006186421</v>
          </cell>
        </row>
      </sheetData>
      <sheetData sheetId="4">
        <row r="62">
          <cell r="Q62">
            <v>4.1222951681226032</v>
          </cell>
        </row>
        <row r="64">
          <cell r="Q64">
            <v>6.6885002125769759</v>
          </cell>
        </row>
        <row r="65">
          <cell r="Q65">
            <v>5.8122433797969002</v>
          </cell>
        </row>
        <row r="68">
          <cell r="Q68">
            <v>3.4295860113086221</v>
          </cell>
        </row>
        <row r="69">
          <cell r="Q69">
            <v>3.0544443748596124</v>
          </cell>
        </row>
        <row r="70">
          <cell r="Q70">
            <v>52.333732046057001</v>
          </cell>
        </row>
      </sheetData>
      <sheetData sheetId="5">
        <row r="48">
          <cell r="Q48">
            <v>2.7792535094466215</v>
          </cell>
        </row>
        <row r="49">
          <cell r="Q49">
            <v>2.9407486458556029</v>
          </cell>
        </row>
      </sheetData>
      <sheetData sheetId="6" refreshError="1"/>
      <sheetData sheetId="7">
        <row r="62">
          <cell r="Q62">
            <v>77.600690029490025</v>
          </cell>
        </row>
        <row r="63">
          <cell r="Q63">
            <v>98.029861710685296</v>
          </cell>
        </row>
        <row r="66">
          <cell r="Q66">
            <v>220.06165829258362</v>
          </cell>
        </row>
      </sheetData>
      <sheetData sheetId="8">
        <row r="31">
          <cell r="Q31">
            <v>30.800320796860881</v>
          </cell>
        </row>
        <row r="33">
          <cell r="Q33">
            <v>109.56528745986658</v>
          </cell>
        </row>
        <row r="34">
          <cell r="Q34">
            <v>94.511114908145927</v>
          </cell>
        </row>
        <row r="35">
          <cell r="Q35">
            <v>153.24210683714747</v>
          </cell>
        </row>
      </sheetData>
      <sheetData sheetId="9">
        <row r="23">
          <cell r="Q23">
            <v>2.9452152226528288</v>
          </cell>
        </row>
      </sheetData>
      <sheetData sheetId="10">
        <row r="69">
          <cell r="Q69">
            <v>125.90489466792437</v>
          </cell>
        </row>
      </sheetData>
      <sheetData sheetId="11">
        <row r="37">
          <cell r="Q37">
            <v>5100.6971134739752</v>
          </cell>
        </row>
      </sheetData>
      <sheetData sheetId="12">
        <row r="41">
          <cell r="Q41">
            <v>15354.047881274573</v>
          </cell>
        </row>
      </sheetData>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953.35884592353898</v>
      </c>
      <c r="C3" s="6">
        <v>0.46</v>
      </c>
      <c r="D3" s="2">
        <f>B3*$C3</f>
        <v>438.54506912482793</v>
      </c>
      <c r="E3" s="31">
        <v>76.33</v>
      </c>
    </row>
    <row r="4" spans="1:5" x14ac:dyDescent="0.3">
      <c r="A4" s="1" t="s">
        <v>5</v>
      </c>
      <c r="B4" s="6">
        <f>[1]RES_summary!$Q$157</f>
        <v>6660.9997406133316</v>
      </c>
      <c r="C4" s="6">
        <v>0.20200000000000001</v>
      </c>
      <c r="D4" s="29">
        <f>B4*$C4</f>
        <v>1345.5219476038931</v>
      </c>
      <c r="E4" s="31">
        <v>166.94</v>
      </c>
    </row>
    <row r="5" spans="1:5" x14ac:dyDescent="0.3">
      <c r="A5" s="1" t="s">
        <v>6</v>
      </c>
      <c r="B5" s="2">
        <f>B3+B4</f>
        <v>7614.3585865368705</v>
      </c>
      <c r="C5" s="3" t="s">
        <v>7</v>
      </c>
      <c r="D5" s="29">
        <f>D3+D4</f>
        <v>1784.067016728721</v>
      </c>
      <c r="E5" s="31">
        <f>E3+E4</f>
        <v>243.26999999999998</v>
      </c>
    </row>
    <row r="7" spans="1:5" x14ac:dyDescent="0.3">
      <c r="A7" t="s">
        <v>20</v>
      </c>
      <c r="B7" s="5">
        <v>81197537</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44239.875842313297</v>
      </c>
      <c r="C10" s="2">
        <f>B10*11630*1000/B7</f>
        <v>6336.5192474508631</v>
      </c>
      <c r="D10" s="6">
        <f>[2]Transport!$Q$56</f>
        <v>125465.34165042598</v>
      </c>
      <c r="E10" s="2">
        <f>D10*1000000/B7</f>
        <v>1545.1865448877591</v>
      </c>
    </row>
    <row r="11" spans="1:5" x14ac:dyDescent="0.3">
      <c r="A11" s="39" t="s">
        <v>142</v>
      </c>
      <c r="B11" s="40">
        <f>B10*11630</f>
        <v>514509756.04610366</v>
      </c>
      <c r="C11" s="40" t="s">
        <v>143</v>
      </c>
      <c r="D11" s="40">
        <f>D10*1000</f>
        <v>125465341.65042599</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715.01913444265426</v>
      </c>
      <c r="C2" s="35">
        <f>E2*0.9</f>
        <v>858.02296133118512</v>
      </c>
      <c r="D2" s="35">
        <f>0.95*E2</f>
        <v>905.69090362736199</v>
      </c>
      <c r="E2" s="35">
        <f>'Cons and emi per capita'!B3</f>
        <v>953.35884592353898</v>
      </c>
      <c r="F2" s="35">
        <f>1.05*E2</f>
        <v>1001.026788219716</v>
      </c>
      <c r="G2" s="35">
        <f>1.25*E2</f>
        <v>1191.6985574044238</v>
      </c>
      <c r="H2" s="12" t="s">
        <v>28</v>
      </c>
    </row>
    <row r="3" spans="1:8" x14ac:dyDescent="0.3">
      <c r="A3" s="1" t="s">
        <v>5</v>
      </c>
      <c r="B3" s="35">
        <f t="shared" ref="B3:B4" si="0">0.75*E3</f>
        <v>4995.7498054599982</v>
      </c>
      <c r="C3" s="35">
        <f t="shared" ref="C3:C4" si="1">E3*0.9</f>
        <v>5994.8997665519983</v>
      </c>
      <c r="D3" s="35">
        <f t="shared" ref="D3:D9" si="2">0.95*E3</f>
        <v>6327.9497535826649</v>
      </c>
      <c r="E3" s="17">
        <f>'Cons and emi per capita'!B4</f>
        <v>6660.9997406133316</v>
      </c>
      <c r="F3" s="35">
        <f t="shared" ref="F3:F9" si="3">1.05*E3</f>
        <v>6994.0497276439983</v>
      </c>
      <c r="G3" s="35">
        <f t="shared" ref="G3:G4" si="4">1.25*E3</f>
        <v>8326.249675766665</v>
      </c>
      <c r="H3" s="1" t="s">
        <v>28</v>
      </c>
    </row>
    <row r="4" spans="1:8" x14ac:dyDescent="0.3">
      <c r="A4" s="1" t="s">
        <v>18</v>
      </c>
      <c r="B4" s="35">
        <f t="shared" si="0"/>
        <v>5710.7689399026531</v>
      </c>
      <c r="C4" s="35">
        <f t="shared" si="1"/>
        <v>6852.9227278831831</v>
      </c>
      <c r="D4" s="35">
        <f t="shared" si="2"/>
        <v>7233.6406572100268</v>
      </c>
      <c r="E4" s="17">
        <f>E2+E3</f>
        <v>7614.3585865368705</v>
      </c>
      <c r="F4" s="35">
        <f t="shared" si="3"/>
        <v>7995.0765158637141</v>
      </c>
      <c r="G4" s="35">
        <f t="shared" si="4"/>
        <v>9517.9482331710878</v>
      </c>
      <c r="H4" s="1" t="s">
        <v>28</v>
      </c>
    </row>
    <row r="5" spans="1:8" x14ac:dyDescent="0.3">
      <c r="A5" s="1" t="s">
        <v>33</v>
      </c>
      <c r="B5" s="17">
        <f>0.84*E5</f>
        <v>5322.6761678587245</v>
      </c>
      <c r="C5" s="35">
        <f>E5*0.91</f>
        <v>5766.2325151802852</v>
      </c>
      <c r="D5" s="35">
        <f t="shared" si="2"/>
        <v>6019.6932850783196</v>
      </c>
      <c r="E5" s="17">
        <f>'Cons and emi per capita'!C10</f>
        <v>6336.5192474508631</v>
      </c>
      <c r="F5" s="35">
        <f t="shared" si="3"/>
        <v>6653.3452098234065</v>
      </c>
      <c r="G5" s="17">
        <f>1.16*E5</f>
        <v>7350.3623270430007</v>
      </c>
      <c r="H5" s="1" t="s">
        <v>28</v>
      </c>
    </row>
    <row r="6" spans="1:8" x14ac:dyDescent="0.3">
      <c r="A6" s="1" t="s">
        <v>29</v>
      </c>
      <c r="B6" s="17">
        <f>0.75*E6</f>
        <v>328.90880184362095</v>
      </c>
      <c r="C6" s="35">
        <f>E6*0.9</f>
        <v>394.69056221234513</v>
      </c>
      <c r="D6" s="35">
        <f t="shared" si="2"/>
        <v>416.6178156685865</v>
      </c>
      <c r="E6" s="17">
        <f>'Cons and emi per capita'!D3</f>
        <v>438.54506912482793</v>
      </c>
      <c r="F6" s="35">
        <f t="shared" si="3"/>
        <v>460.47232258106936</v>
      </c>
      <c r="G6" s="17">
        <f>1.25*E6</f>
        <v>548.18133640603492</v>
      </c>
      <c r="H6" s="1" t="s">
        <v>30</v>
      </c>
    </row>
    <row r="7" spans="1:8" x14ac:dyDescent="0.3">
      <c r="A7" s="1" t="s">
        <v>31</v>
      </c>
      <c r="B7" s="17">
        <f>0.75*E7</f>
        <v>1009.1414607029199</v>
      </c>
      <c r="C7" s="35">
        <f t="shared" ref="C7:C8" si="5">E7*0.9</f>
        <v>1210.9697528435038</v>
      </c>
      <c r="D7" s="35">
        <f t="shared" si="2"/>
        <v>1278.2458502236984</v>
      </c>
      <c r="E7" s="17">
        <f>'Cons and emi per capita'!D4</f>
        <v>1345.5219476038931</v>
      </c>
      <c r="F7" s="35">
        <f t="shared" si="3"/>
        <v>1412.7980449840877</v>
      </c>
      <c r="G7" s="17">
        <f t="shared" ref="G7:G8" si="6">1.25*E7</f>
        <v>1681.9024345048663</v>
      </c>
      <c r="H7" s="1" t="s">
        <v>30</v>
      </c>
    </row>
    <row r="8" spans="1:8" x14ac:dyDescent="0.3">
      <c r="A8" s="1" t="s">
        <v>32</v>
      </c>
      <c r="B8" s="17">
        <f t="shared" ref="B8" si="7">0.75*E8</f>
        <v>1338.0502625465408</v>
      </c>
      <c r="C8" s="35">
        <f t="shared" si="5"/>
        <v>1605.660315055849</v>
      </c>
      <c r="D8" s="35">
        <f t="shared" si="2"/>
        <v>1694.8636658922849</v>
      </c>
      <c r="E8" s="17">
        <f>E6+E7</f>
        <v>1784.067016728721</v>
      </c>
      <c r="F8" s="35">
        <f t="shared" si="3"/>
        <v>1873.2703675651571</v>
      </c>
      <c r="G8" s="17">
        <f t="shared" si="6"/>
        <v>2230.0837709109014</v>
      </c>
      <c r="H8" s="1" t="s">
        <v>30</v>
      </c>
    </row>
    <row r="9" spans="1:8" x14ac:dyDescent="0.3">
      <c r="A9" s="1" t="s">
        <v>34</v>
      </c>
      <c r="B9" s="17">
        <f>0.84*E9</f>
        <v>1297.9566977057175</v>
      </c>
      <c r="C9" s="35">
        <f>E9*0.91</f>
        <v>1406.1197558478607</v>
      </c>
      <c r="D9" s="35">
        <f t="shared" si="2"/>
        <v>1467.927217643371</v>
      </c>
      <c r="E9" s="17">
        <f>'Cons and emi per capita'!E10</f>
        <v>1545.1865448877591</v>
      </c>
      <c r="F9" s="35">
        <f t="shared" si="3"/>
        <v>1622.4458721321471</v>
      </c>
      <c r="G9" s="17">
        <f>1.16*E9</f>
        <v>1792.4163920698004</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11033.445107761378</v>
      </c>
      <c r="C13" s="37">
        <f t="shared" ref="C13:G13" si="8">SUM(C4:C5)</f>
        <v>12619.155243063469</v>
      </c>
      <c r="D13" s="37">
        <f t="shared" si="8"/>
        <v>13253.333942288347</v>
      </c>
      <c r="E13" s="37">
        <f t="shared" si="8"/>
        <v>13950.877833987734</v>
      </c>
      <c r="F13" s="37">
        <f t="shared" si="8"/>
        <v>14648.42172568712</v>
      </c>
      <c r="G13" s="37">
        <f t="shared" si="8"/>
        <v>16868.310560214089</v>
      </c>
    </row>
    <row r="14" spans="1:8" x14ac:dyDescent="0.3">
      <c r="B14" s="37">
        <f>SUM(B8:B9)</f>
        <v>2636.0069602522581</v>
      </c>
      <c r="C14" s="37">
        <f t="shared" ref="C14:G14" si="9">SUM(C8:C9)</f>
        <v>3011.7800709037097</v>
      </c>
      <c r="D14" s="37">
        <f t="shared" si="9"/>
        <v>3162.7908835356557</v>
      </c>
      <c r="E14" s="37">
        <f t="shared" si="9"/>
        <v>3329.2535616164801</v>
      </c>
      <c r="F14" s="37">
        <f t="shared" si="9"/>
        <v>3495.7162396973044</v>
      </c>
      <c r="G14" s="37">
        <f t="shared" si="9"/>
        <v>4022.500162980702</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opLeftCell="A10" zoomScale="90" zoomScaleNormal="90" workbookViewId="0">
      <selection activeCell="M31" sqref="M31"/>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1" t="s">
        <v>37</v>
      </c>
      <c r="B1" s="61"/>
      <c r="C1" s="61"/>
      <c r="D1" s="61"/>
      <c r="E1" s="61"/>
      <c r="G1" s="61" t="s">
        <v>75</v>
      </c>
      <c r="H1" s="61"/>
      <c r="I1" s="61"/>
      <c r="J1" s="61"/>
      <c r="K1" s="16"/>
    </row>
    <row r="2" spans="1:11" ht="28.2" customHeight="1" x14ac:dyDescent="0.3">
      <c r="A2" s="74" t="s">
        <v>64</v>
      </c>
      <c r="B2" s="74"/>
      <c r="C2" s="74"/>
      <c r="D2" s="74"/>
      <c r="E2" s="74"/>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5" t="s">
        <v>38</v>
      </c>
      <c r="B4" s="75"/>
      <c r="C4" s="75"/>
      <c r="D4" s="75"/>
      <c r="E4" s="75"/>
      <c r="G4" s="1" t="s">
        <v>81</v>
      </c>
      <c r="H4" s="1">
        <v>15.9</v>
      </c>
      <c r="I4" s="1">
        <v>50</v>
      </c>
      <c r="J4" s="1">
        <v>84.1</v>
      </c>
      <c r="K4" t="s">
        <v>78</v>
      </c>
    </row>
    <row r="5" spans="1:11" x14ac:dyDescent="0.3">
      <c r="A5" s="57" t="s">
        <v>39</v>
      </c>
      <c r="B5" s="57"/>
      <c r="C5" s="57"/>
      <c r="D5" s="57"/>
      <c r="E5" s="57"/>
      <c r="G5" s="1" t="s">
        <v>82</v>
      </c>
      <c r="H5" s="17">
        <f>H$4*I5/I$4</f>
        <v>6.2019425539672817</v>
      </c>
      <c r="I5" s="17">
        <f>B6</f>
        <v>19.502964006186421</v>
      </c>
      <c r="J5" s="17">
        <f>J$4*I5/I$4</f>
        <v>32.803985458405556</v>
      </c>
    </row>
    <row r="6" spans="1:11" x14ac:dyDescent="0.3">
      <c r="A6" s="1" t="s">
        <v>40</v>
      </c>
      <c r="B6" s="6">
        <f>[2]TrRoad_act!$Q$150</f>
        <v>19.502964006186421</v>
      </c>
      <c r="C6" s="1" t="s">
        <v>59</v>
      </c>
      <c r="D6" s="3" t="s">
        <v>7</v>
      </c>
      <c r="E6" s="1"/>
      <c r="G6" s="1" t="s">
        <v>83</v>
      </c>
      <c r="H6" s="17">
        <f t="shared" ref="H6:H8" si="0">H$4*I6/I$4</f>
        <v>24.677019429377829</v>
      </c>
      <c r="I6" s="17">
        <f>B20</f>
        <v>77.600690029490025</v>
      </c>
      <c r="J6" s="17">
        <f t="shared" ref="J6:J8" si="1">J$4*I6/I$4</f>
        <v>130.52436062960223</v>
      </c>
    </row>
    <row r="7" spans="1:11" x14ac:dyDescent="0.3">
      <c r="A7" s="57" t="s">
        <v>61</v>
      </c>
      <c r="B7" s="57"/>
      <c r="C7" s="57"/>
      <c r="D7" s="57"/>
      <c r="E7" s="57"/>
      <c r="G7" s="1" t="s">
        <v>84</v>
      </c>
      <c r="H7" s="17">
        <f t="shared" si="0"/>
        <v>31.173496023997924</v>
      </c>
      <c r="I7" s="17">
        <f>B21</f>
        <v>98.029861710685296</v>
      </c>
      <c r="J7" s="17">
        <f t="shared" si="1"/>
        <v>164.88622739737264</v>
      </c>
    </row>
    <row r="8" spans="1:11" x14ac:dyDescent="0.3">
      <c r="A8" s="1" t="s">
        <v>42</v>
      </c>
      <c r="B8" s="6">
        <f>[2]TrRoad_ene!$Q$62</f>
        <v>4.1222951681226032</v>
      </c>
      <c r="C8" s="74" t="s">
        <v>60</v>
      </c>
      <c r="D8" s="27">
        <f>B8*11.63/100</f>
        <v>0.47942292805265879</v>
      </c>
      <c r="E8" s="74" t="s">
        <v>41</v>
      </c>
      <c r="G8" s="1" t="s">
        <v>85</v>
      </c>
      <c r="H8" s="17">
        <f t="shared" si="0"/>
        <v>69.979607337041585</v>
      </c>
      <c r="I8" s="17">
        <f>B22</f>
        <v>220.06165829258362</v>
      </c>
      <c r="J8" s="17">
        <f t="shared" si="1"/>
        <v>370.14370924812562</v>
      </c>
    </row>
    <row r="9" spans="1:11" x14ac:dyDescent="0.3">
      <c r="A9" s="1" t="s">
        <v>43</v>
      </c>
      <c r="B9" s="3" t="s">
        <v>7</v>
      </c>
      <c r="C9" s="74"/>
      <c r="D9" s="3" t="s">
        <v>7</v>
      </c>
      <c r="E9" s="74"/>
    </row>
    <row r="10" spans="1:11" x14ac:dyDescent="0.3">
      <c r="A10" s="1" t="s">
        <v>44</v>
      </c>
      <c r="B10" s="6">
        <f>AVERAGE([2]TrRoad_ene!$Q$64:$Q$65)</f>
        <v>6.2503717961869381</v>
      </c>
      <c r="C10" s="74"/>
      <c r="D10" s="27">
        <f t="shared" ref="D10:D13" si="2">B10*11.63/100</f>
        <v>0.72691823989654092</v>
      </c>
      <c r="E10" s="74"/>
    </row>
    <row r="11" spans="1:11" x14ac:dyDescent="0.3">
      <c r="A11" s="1" t="s">
        <v>45</v>
      </c>
      <c r="B11" s="6">
        <f>[2]TrRoad_ene!$Q$68</f>
        <v>3.4295860113086221</v>
      </c>
      <c r="C11" s="74"/>
      <c r="D11" s="27">
        <f t="shared" si="2"/>
        <v>0.39886085311519276</v>
      </c>
      <c r="E11" s="74"/>
    </row>
    <row r="12" spans="1:11" x14ac:dyDescent="0.3">
      <c r="A12" s="1" t="s">
        <v>46</v>
      </c>
      <c r="B12" s="6">
        <f>[2]TrRoad_ene!$Q$69</f>
        <v>3.0544443748596124</v>
      </c>
      <c r="C12" s="74"/>
      <c r="D12" s="27">
        <f t="shared" si="2"/>
        <v>0.35523188079617291</v>
      </c>
      <c r="E12" s="74"/>
    </row>
    <row r="13" spans="1:11" x14ac:dyDescent="0.3">
      <c r="A13" s="1" t="s">
        <v>40</v>
      </c>
      <c r="B13" s="6">
        <f>[2]TrRoad_ene!$Q$70</f>
        <v>52.333732046057001</v>
      </c>
      <c r="C13" s="74"/>
      <c r="D13" s="27">
        <f t="shared" si="2"/>
        <v>6.0864130369564293</v>
      </c>
      <c r="E13" s="74"/>
    </row>
    <row r="14" spans="1:11" x14ac:dyDescent="0.3">
      <c r="A14" s="57" t="s">
        <v>63</v>
      </c>
      <c r="B14" s="57"/>
      <c r="C14" s="57"/>
      <c r="D14" s="57"/>
      <c r="E14" s="57"/>
    </row>
    <row r="15" spans="1:11" x14ac:dyDescent="0.3">
      <c r="A15" s="38" t="s">
        <v>145</v>
      </c>
      <c r="B15" s="6">
        <f>[2]TrRail_emi!$Q$23</f>
        <v>2.9452152226528288</v>
      </c>
      <c r="C15" s="1" t="s">
        <v>62</v>
      </c>
      <c r="D15" s="28">
        <f>B15*1000/11630</f>
        <v>0.2532429254215674</v>
      </c>
      <c r="E15" s="1" t="s">
        <v>47</v>
      </c>
    </row>
    <row r="16" spans="1:11" x14ac:dyDescent="0.3">
      <c r="A16" s="1" t="s">
        <v>48</v>
      </c>
      <c r="B16" s="6">
        <f>AVERAGE([2]TrRoad_emi!$Q$48:$Q$49)</f>
        <v>2.8600010776511122</v>
      </c>
      <c r="C16" s="1" t="s">
        <v>62</v>
      </c>
      <c r="D16" s="28">
        <f>B16*1000/11630</f>
        <v>0.24591582782898644</v>
      </c>
      <c r="E16" s="1" t="s">
        <v>47</v>
      </c>
    </row>
    <row r="17" spans="1:5" x14ac:dyDescent="0.3">
      <c r="A17" s="1" t="s">
        <v>65</v>
      </c>
      <c r="B17" s="6">
        <v>0.30099999999999999</v>
      </c>
      <c r="C17" s="1" t="s">
        <v>47</v>
      </c>
      <c r="D17" s="2">
        <f>B17</f>
        <v>0.30099999999999999</v>
      </c>
      <c r="E17" s="1" t="s">
        <v>47</v>
      </c>
    </row>
    <row r="18" spans="1:5" x14ac:dyDescent="0.3">
      <c r="A18" s="62" t="s">
        <v>49</v>
      </c>
      <c r="B18" s="63"/>
      <c r="C18" s="63"/>
      <c r="D18" s="63"/>
      <c r="E18" s="64"/>
    </row>
    <row r="19" spans="1:5" x14ac:dyDescent="0.3">
      <c r="A19" s="65" t="s">
        <v>39</v>
      </c>
      <c r="B19" s="66"/>
      <c r="C19" s="66"/>
      <c r="D19" s="66"/>
      <c r="E19" s="67"/>
    </row>
    <row r="20" spans="1:5" x14ac:dyDescent="0.3">
      <c r="A20" s="1" t="s">
        <v>50</v>
      </c>
      <c r="B20" s="6">
        <f>[2]TrRail_act!$Q$62</f>
        <v>77.600690029490025</v>
      </c>
      <c r="C20" s="68" t="s">
        <v>59</v>
      </c>
      <c r="D20" s="3" t="s">
        <v>7</v>
      </c>
      <c r="E20" s="1"/>
    </row>
    <row r="21" spans="1:5" x14ac:dyDescent="0.3">
      <c r="A21" s="1" t="s">
        <v>51</v>
      </c>
      <c r="B21" s="6">
        <f>[2]TrRail_act!$Q$63</f>
        <v>98.029861710685296</v>
      </c>
      <c r="C21" s="69"/>
      <c r="D21" s="3" t="s">
        <v>7</v>
      </c>
      <c r="E21" s="1"/>
    </row>
    <row r="22" spans="1:5" x14ac:dyDescent="0.3">
      <c r="A22" s="1" t="s">
        <v>52</v>
      </c>
      <c r="B22" s="6">
        <f>[2]TrRail_act!$Q$66</f>
        <v>220.06165829258362</v>
      </c>
      <c r="C22" s="70"/>
      <c r="D22" s="3" t="s">
        <v>7</v>
      </c>
      <c r="E22" s="1"/>
    </row>
    <row r="23" spans="1:5" x14ac:dyDescent="0.3">
      <c r="A23" s="65" t="s">
        <v>53</v>
      </c>
      <c r="B23" s="66"/>
      <c r="C23" s="66"/>
      <c r="D23" s="66"/>
      <c r="E23" s="67"/>
    </row>
    <row r="24" spans="1:5" x14ac:dyDescent="0.3">
      <c r="A24" s="1" t="s">
        <v>50</v>
      </c>
      <c r="B24" s="6">
        <f>[2]TrRail_ene!$Q$31</f>
        <v>30.800320796860881</v>
      </c>
      <c r="C24" s="71" t="s">
        <v>60</v>
      </c>
      <c r="D24" s="2">
        <f>B24*11.63/100</f>
        <v>3.5820773086749202</v>
      </c>
      <c r="E24" s="71" t="s">
        <v>41</v>
      </c>
    </row>
    <row r="25" spans="1:5" x14ac:dyDescent="0.3">
      <c r="A25" s="1" t="s">
        <v>144</v>
      </c>
      <c r="B25" s="6">
        <f>[2]TrRail_ene!$Q$33</f>
        <v>109.56528745986658</v>
      </c>
      <c r="C25" s="72"/>
      <c r="D25" s="27">
        <f t="shared" ref="D25:D27" si="3">B25*11.63/100</f>
        <v>12.742442931582485</v>
      </c>
      <c r="E25" s="72"/>
    </row>
    <row r="26" spans="1:5" x14ac:dyDescent="0.3">
      <c r="A26" s="1" t="s">
        <v>51</v>
      </c>
      <c r="B26" s="6">
        <f>[2]TrRail_ene!$Q$34</f>
        <v>94.511114908145927</v>
      </c>
      <c r="C26" s="72"/>
      <c r="D26" s="27">
        <f t="shared" si="3"/>
        <v>10.991642663817371</v>
      </c>
      <c r="E26" s="72"/>
    </row>
    <row r="27" spans="1:5" x14ac:dyDescent="0.3">
      <c r="A27" s="1" t="s">
        <v>52</v>
      </c>
      <c r="B27" s="6">
        <f>[2]TrRail_ene!$Q$35</f>
        <v>153.24210683714747</v>
      </c>
      <c r="C27" s="73"/>
      <c r="D27" s="2">
        <f t="shared" si="3"/>
        <v>17.822057025160252</v>
      </c>
      <c r="E27" s="73"/>
    </row>
    <row r="28" spans="1:5" x14ac:dyDescent="0.3">
      <c r="A28" s="65" t="s">
        <v>63</v>
      </c>
      <c r="B28" s="66"/>
      <c r="C28" s="66"/>
      <c r="D28" s="66"/>
      <c r="E28" s="67"/>
    </row>
    <row r="29" spans="1:5" x14ac:dyDescent="0.3">
      <c r="A29" s="1" t="s">
        <v>65</v>
      </c>
      <c r="B29" s="26">
        <f>B17</f>
        <v>0.30099999999999999</v>
      </c>
      <c r="C29" s="1" t="s">
        <v>47</v>
      </c>
      <c r="D29" s="2">
        <f>B29</f>
        <v>0.30099999999999999</v>
      </c>
      <c r="E29" s="1" t="s">
        <v>47</v>
      </c>
    </row>
    <row r="30" spans="1:5" x14ac:dyDescent="0.3">
      <c r="A30" s="62" t="s">
        <v>54</v>
      </c>
      <c r="B30" s="63"/>
      <c r="C30" s="63"/>
      <c r="D30" s="63"/>
      <c r="E30" s="64"/>
    </row>
    <row r="31" spans="1:5" x14ac:dyDescent="0.3">
      <c r="A31" s="1" t="s">
        <v>68</v>
      </c>
      <c r="B31" s="6">
        <f>[2]TrAvia_act!$Q$69</f>
        <v>125.90489466792437</v>
      </c>
      <c r="C31" s="1" t="s">
        <v>67</v>
      </c>
      <c r="D31" s="3" t="s">
        <v>7</v>
      </c>
      <c r="E31" s="1"/>
    </row>
    <row r="32" spans="1:5" x14ac:dyDescent="0.3">
      <c r="A32" s="1" t="s">
        <v>72</v>
      </c>
      <c r="B32" s="6">
        <f>[2]TrAvia_ene!$Q$37</f>
        <v>5100.6971134739752</v>
      </c>
      <c r="C32" s="1" t="s">
        <v>69</v>
      </c>
      <c r="D32" s="28">
        <f>B32*11.63*10^(-3)/B31</f>
        <v>0.47115807202065063</v>
      </c>
      <c r="E32" s="1" t="s">
        <v>55</v>
      </c>
    </row>
    <row r="33" spans="1:5" x14ac:dyDescent="0.3">
      <c r="A33" s="1" t="s">
        <v>71</v>
      </c>
      <c r="B33" s="6">
        <f>[2]TrAvia_emi!$Q$41</f>
        <v>15354.047881274573</v>
      </c>
      <c r="C33" s="1" t="s">
        <v>70</v>
      </c>
      <c r="D33" s="28">
        <f>B33/B31</f>
        <v>121.94957091835909</v>
      </c>
      <c r="E33" s="1" t="s">
        <v>56</v>
      </c>
    </row>
    <row r="35" spans="1:5" x14ac:dyDescent="0.3">
      <c r="A35" s="58" t="s">
        <v>73</v>
      </c>
      <c r="B35" s="59"/>
      <c r="C35" s="59"/>
      <c r="D35" s="59"/>
      <c r="E35" s="60"/>
    </row>
    <row r="36" spans="1:5" x14ac:dyDescent="0.3">
      <c r="A36" s="44" t="s">
        <v>74</v>
      </c>
      <c r="B36" s="45"/>
      <c r="C36" s="45"/>
      <c r="D36" s="45"/>
      <c r="E36" s="46"/>
    </row>
  </sheetData>
  <mergeCells count="20">
    <mergeCell ref="E8:E13"/>
    <mergeCell ref="A4:E4"/>
    <mergeCell ref="A5:E5"/>
    <mergeCell ref="A7:E7"/>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tabSelected="1" zoomScale="70" zoomScaleNormal="70" workbookViewId="0">
      <selection activeCell="H8" sqref="H8"/>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0.30099999999999999</v>
      </c>
    </row>
    <row r="4" spans="1:8" x14ac:dyDescent="0.3">
      <c r="A4" t="s">
        <v>87</v>
      </c>
      <c r="B4">
        <f>'Passenger transport data'!D13</f>
        <v>6.0864130369564293</v>
      </c>
      <c r="C4">
        <f>Tabla4[[#This Row],[ENERGY CONSUMPTION PER VEHICLE]]*H7</f>
        <v>1.5942719562936092</v>
      </c>
      <c r="G4" t="s">
        <v>165</v>
      </c>
      <c r="H4">
        <f>BUS!C16</f>
        <v>0.25279449699054168</v>
      </c>
    </row>
    <row r="5" spans="1:8" x14ac:dyDescent="0.3">
      <c r="A5" t="s">
        <v>179</v>
      </c>
      <c r="B5">
        <f>B4</f>
        <v>6.0864130369564293</v>
      </c>
      <c r="C5">
        <f>Tabla4[[#This Row],[ENERGY CONSUMPTION PER VEHICLE]]*H3</f>
        <v>1.8320103241238852</v>
      </c>
      <c r="G5" t="s">
        <v>180</v>
      </c>
      <c r="H5">
        <f>'Passenger transport data'!D15</f>
        <v>0.2532429254215674</v>
      </c>
    </row>
    <row r="6" spans="1:8" x14ac:dyDescent="0.3">
      <c r="A6" t="s">
        <v>181</v>
      </c>
      <c r="B6">
        <f>B4</f>
        <v>6.0864130369564293</v>
      </c>
      <c r="C6">
        <f>Tabla4[[#This Row],[ENERGY CONSUMPTION PER VEHICLE]]*H4</f>
        <v>1.5386117221540758</v>
      </c>
      <c r="G6" t="s">
        <v>182</v>
      </c>
      <c r="H6">
        <f>BUS!E5</f>
        <v>0.22800000000000001</v>
      </c>
    </row>
    <row r="7" spans="1:8" x14ac:dyDescent="0.3">
      <c r="A7" t="s">
        <v>191</v>
      </c>
      <c r="B7">
        <f>B4</f>
        <v>6.0864130369564293</v>
      </c>
      <c r="C7">
        <f>Tabla4[[#This Row],[ENERGY CONSUMPTION PER VEHICLE]]*H8</f>
        <v>1.6853110231389805</v>
      </c>
      <c r="G7" t="s">
        <v>184</v>
      </c>
      <c r="H7">
        <f>BUS!E2</f>
        <v>0.2619394948409286</v>
      </c>
    </row>
    <row r="8" spans="1:8" x14ac:dyDescent="0.3">
      <c r="A8" t="s">
        <v>183</v>
      </c>
      <c r="B8">
        <f>B4</f>
        <v>6.0864130369564293</v>
      </c>
      <c r="C8">
        <f>Tabla4[[#This Row],[ENERGY CONSUMPTION PER VEHICLE]]*H6</f>
        <v>1.3877021724260659</v>
      </c>
      <c r="G8" t="s">
        <v>192</v>
      </c>
      <c r="H8">
        <f>0.5*H3+0.5*H4</f>
        <v>0.27689724849527086</v>
      </c>
    </row>
    <row r="9" spans="1:8" x14ac:dyDescent="0.3">
      <c r="A9" t="s">
        <v>185</v>
      </c>
      <c r="B9">
        <f>'Passenger transport data'!D26</f>
        <v>10.991642663817371</v>
      </c>
      <c r="C9">
        <f>Tabla4[[#This Row],[ENERGY CONSUMPTION PER VEHICLE]]*H3</f>
        <v>3.3084844418090289</v>
      </c>
    </row>
    <row r="10" spans="1:8" x14ac:dyDescent="0.3">
      <c r="A10" t="s">
        <v>146</v>
      </c>
      <c r="B10">
        <f>'Passenger transport data'!D25</f>
        <v>12.742442931582485</v>
      </c>
      <c r="C10">
        <f>Tabla4[[#This Row],[ENERGY CONSUMPTION PER VEHICLE]]*H5</f>
        <v>3.2269335250113218</v>
      </c>
    </row>
    <row r="11" spans="1:8" x14ac:dyDescent="0.3">
      <c r="A11" t="s">
        <v>103</v>
      </c>
      <c r="B11">
        <f>'Passenger transport data'!D27</f>
        <v>17.822057025160252</v>
      </c>
      <c r="C11">
        <f>Tabla4[[#This Row],[ENERGY CONSUMPTION PER VEHICLE]]*H3</f>
        <v>5.3644391645732359</v>
      </c>
    </row>
    <row r="12" spans="1:8" x14ac:dyDescent="0.3">
      <c r="A12" t="s">
        <v>186</v>
      </c>
      <c r="B12">
        <f>'Passenger transport data'!D24</f>
        <v>3.5820773086749202</v>
      </c>
      <c r="C12">
        <f>Tabla4[[#This Row],[ENERGY CONSUMPTION PER VEHICLE]]*H3</f>
        <v>1.0782052699111511</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6.2019425539672817</v>
      </c>
      <c r="B17">
        <f>B4/Tabla5[[#This Row],[LEVEL OF OCCUPANCY]]</f>
        <v>0.98137204335487593</v>
      </c>
      <c r="C17">
        <f>C4/Tabla5[[#This Row],[LEVEL OF OCCUPANCY]]</f>
        <v>0.2570600972873861</v>
      </c>
    </row>
    <row r="18" spans="1:3" x14ac:dyDescent="0.3">
      <c r="A18" s="37">
        <f>'Passenger transport data'!I5</f>
        <v>19.502964006186421</v>
      </c>
      <c r="B18">
        <f>B4/Tabla5[[#This Row],[LEVEL OF OCCUPANCY]]</f>
        <v>0.31207630978685053</v>
      </c>
      <c r="C18">
        <f>C4/Tabla5[[#This Row],[LEVEL OF OCCUPANCY]]</f>
        <v>8.1745110937388774E-2</v>
      </c>
    </row>
    <row r="19" spans="1:3" x14ac:dyDescent="0.3">
      <c r="A19" s="37">
        <f>'Passenger transport data'!J5</f>
        <v>32.803985458405556</v>
      </c>
      <c r="B19">
        <f>B4/Tabla5[[#This Row],[LEVEL OF OCCUPANCY]]</f>
        <v>0.18553882864854374</v>
      </c>
      <c r="C19">
        <f>C4/Tabla5[[#This Row],[LEVEL OF OCCUPANCY]]</f>
        <v>4.8599947049577159E-2</v>
      </c>
    </row>
    <row r="20" spans="1:3" x14ac:dyDescent="0.3">
      <c r="A20" t="s">
        <v>179</v>
      </c>
    </row>
    <row r="21" spans="1:3" x14ac:dyDescent="0.3">
      <c r="A21" s="37">
        <f>A17</f>
        <v>6.2019425539672817</v>
      </c>
      <c r="B21">
        <f>B5/Tabla5[[#This Row],[LEVEL OF OCCUPANCY]]</f>
        <v>0.98137204335487593</v>
      </c>
      <c r="C21">
        <f>C5/Tabla5[[#This Row],[LEVEL OF OCCUPANCY]]</f>
        <v>0.29539298504981765</v>
      </c>
    </row>
    <row r="22" spans="1:3" x14ac:dyDescent="0.3">
      <c r="A22" s="37">
        <f>A18</f>
        <v>19.502964006186421</v>
      </c>
      <c r="B22">
        <f>B5/Tabla5[[#This Row],[LEVEL OF OCCUPANCY]]</f>
        <v>0.31207630978685053</v>
      </c>
      <c r="C22">
        <f>C5/Tabla5[[#This Row],[LEVEL OF OCCUPANCY]]</f>
        <v>9.393496924584202E-2</v>
      </c>
    </row>
    <row r="23" spans="1:3" x14ac:dyDescent="0.3">
      <c r="A23" s="37">
        <f>A19</f>
        <v>32.803985458405556</v>
      </c>
      <c r="B23">
        <f>B5/Tabla5[[#This Row],[LEVEL OF OCCUPANCY]]</f>
        <v>0.18553882864854374</v>
      </c>
      <c r="C23">
        <f>C5/Tabla5[[#This Row],[LEVEL OF OCCUPANCY]]</f>
        <v>5.5847187423211667E-2</v>
      </c>
    </row>
    <row r="24" spans="1:3" x14ac:dyDescent="0.3">
      <c r="A24" t="s">
        <v>181</v>
      </c>
    </row>
    <row r="25" spans="1:3" x14ac:dyDescent="0.3">
      <c r="A25" s="37">
        <f>A17</f>
        <v>6.2019425539672817</v>
      </c>
      <c r="B25">
        <f>B6/Tabla5[[#This Row],[LEVEL OF OCCUPANCY]]</f>
        <v>0.98137204335487593</v>
      </c>
      <c r="C25">
        <f>C6/Tabla5[[#This Row],[LEVEL OF OCCUPANCY]]</f>
        <v>0.24808545206047594</v>
      </c>
    </row>
    <row r="26" spans="1:3" x14ac:dyDescent="0.3">
      <c r="A26" s="37">
        <f>A18</f>
        <v>19.502964006186421</v>
      </c>
      <c r="B26">
        <f>B6/Tabla5[[#This Row],[LEVEL OF OCCUPANCY]]</f>
        <v>0.31207630978685053</v>
      </c>
      <c r="C26">
        <f>C6/Tabla5[[#This Row],[LEVEL OF OCCUPANCY]]</f>
        <v>7.8891173755231345E-2</v>
      </c>
    </row>
    <row r="27" spans="1:3" x14ac:dyDescent="0.3">
      <c r="A27" s="37">
        <f>A19</f>
        <v>32.803985458405556</v>
      </c>
      <c r="B27">
        <f>B6/Tabla5[[#This Row],[LEVEL OF OCCUPANCY]]</f>
        <v>0.18553882864854374</v>
      </c>
      <c r="C27">
        <f>C6/Tabla5[[#This Row],[LEVEL OF OCCUPANCY]]</f>
        <v>4.6903194860422923E-2</v>
      </c>
    </row>
    <row r="28" spans="1:3" x14ac:dyDescent="0.3">
      <c r="A28" s="37" t="s">
        <v>183</v>
      </c>
    </row>
    <row r="29" spans="1:3" x14ac:dyDescent="0.3">
      <c r="A29" s="37">
        <f>A17</f>
        <v>6.2019425539672817</v>
      </c>
      <c r="B29">
        <f>B8/Tabla5[[#This Row],[LEVEL OF OCCUPANCY]]</f>
        <v>0.98137204335487593</v>
      </c>
      <c r="C29">
        <f>C8/Tabla5[[#This Row],[LEVEL OF OCCUPANCY]]</f>
        <v>0.22375282588491172</v>
      </c>
    </row>
    <row r="30" spans="1:3" x14ac:dyDescent="0.3">
      <c r="A30" s="37">
        <f>A18</f>
        <v>19.502964006186421</v>
      </c>
      <c r="B30">
        <f>B8/Tabla5[[#This Row],[LEVEL OF OCCUPANCY]]</f>
        <v>0.31207630978685053</v>
      </c>
      <c r="C30">
        <f>C8/Tabla5[[#This Row],[LEVEL OF OCCUPANCY]]</f>
        <v>7.1153398631401923E-2</v>
      </c>
    </row>
    <row r="31" spans="1:3" x14ac:dyDescent="0.3">
      <c r="A31" s="37">
        <f>A19</f>
        <v>32.803985458405556</v>
      </c>
      <c r="B31">
        <f>B8/Tabla5[[#This Row],[LEVEL OF OCCUPANCY]]</f>
        <v>0.18553882864854374</v>
      </c>
      <c r="C31">
        <f>C8/Tabla5[[#This Row],[LEVEL OF OCCUPANCY]]</f>
        <v>4.2302852931867974E-2</v>
      </c>
    </row>
    <row r="32" spans="1:3" x14ac:dyDescent="0.3">
      <c r="A32" s="37" t="s">
        <v>191</v>
      </c>
    </row>
    <row r="33" spans="1:3" x14ac:dyDescent="0.3">
      <c r="A33" s="37">
        <f>A17</f>
        <v>6.2019425539672817</v>
      </c>
      <c r="B33">
        <f>B7/Tabla5[[#This Row],[LEVEL OF OCCUPANCY]]</f>
        <v>0.98137204335487593</v>
      </c>
      <c r="C33">
        <f>C7/Tabla5[[#This Row],[LEVEL OF OCCUPANCY]]</f>
        <v>0.27173921855514682</v>
      </c>
    </row>
    <row r="34" spans="1:3" x14ac:dyDescent="0.3">
      <c r="A34" s="37">
        <f>A18</f>
        <v>19.502964006186421</v>
      </c>
      <c r="B34">
        <f>B7/Tabla5[[#This Row],[LEVEL OF OCCUPANCY]]</f>
        <v>0.31207630978685053</v>
      </c>
      <c r="C34">
        <f>C7/Tabla5[[#This Row],[LEVEL OF OCCUPANCY]]</f>
        <v>8.6413071500536676E-2</v>
      </c>
    </row>
    <row r="35" spans="1:3" x14ac:dyDescent="0.3">
      <c r="A35" s="37">
        <f>A19</f>
        <v>32.803985458405556</v>
      </c>
      <c r="B35">
        <f>B7/Tabla5[[#This Row],[LEVEL OF OCCUPANCY]]</f>
        <v>0.18553882864854374</v>
      </c>
      <c r="C35">
        <f>C7/Tabla5[[#This Row],[LEVEL OF OCCUPANCY]]</f>
        <v>5.1375191141817295E-2</v>
      </c>
    </row>
    <row r="36" spans="1:3" x14ac:dyDescent="0.3">
      <c r="A36" t="s">
        <v>185</v>
      </c>
    </row>
    <row r="37" spans="1:3" x14ac:dyDescent="0.3">
      <c r="A37" s="37">
        <f>'Passenger transport data'!H7</f>
        <v>31.173496023997924</v>
      </c>
      <c r="B37">
        <f>B9/Tabla5[[#This Row],[LEVEL OF OCCUPANCY]]</f>
        <v>0.35259576453522584</v>
      </c>
      <c r="C37">
        <f>C9/Tabla5[[#This Row],[LEVEL OF OCCUPANCY]]</f>
        <v>0.10613132512510298</v>
      </c>
    </row>
    <row r="38" spans="1:3" x14ac:dyDescent="0.3">
      <c r="A38" s="37">
        <f>'Passenger transport data'!I7</f>
        <v>98.029861710685296</v>
      </c>
      <c r="B38">
        <f>B9/Tabla5[[#This Row],[LEVEL OF OCCUPANCY]]</f>
        <v>0.11212545312220182</v>
      </c>
      <c r="C38">
        <f>C9/Tabla5[[#This Row],[LEVEL OF OCCUPANCY]]</f>
        <v>3.3749761389782751E-2</v>
      </c>
    </row>
    <row r="39" spans="1:3" x14ac:dyDescent="0.3">
      <c r="A39" s="37">
        <f>'Passenger transport data'!J7</f>
        <v>164.88622739737264</v>
      </c>
      <c r="B39">
        <f>B9/Tabla5[[#This Row],[LEVEL OF OCCUPANCY]]</f>
        <v>6.666198164221275E-2</v>
      </c>
      <c r="C39">
        <f>C9/Tabla5[[#This Row],[LEVEL OF OCCUPANCY]]</f>
        <v>2.0065256474306039E-2</v>
      </c>
    </row>
    <row r="40" spans="1:3" x14ac:dyDescent="0.3">
      <c r="A40" t="s">
        <v>146</v>
      </c>
    </row>
    <row r="41" spans="1:3" x14ac:dyDescent="0.3">
      <c r="A41" s="37">
        <f>A37</f>
        <v>31.173496023997924</v>
      </c>
      <c r="B41">
        <f>B10/Tabla5[[#This Row],[LEVEL OF OCCUPANCY]]</f>
        <v>0.4087588675255775</v>
      </c>
      <c r="C41">
        <f>C10/Tabla5[[#This Row],[LEVEL OF OCCUPANCY]]</f>
        <v>0.10351529140418417</v>
      </c>
    </row>
    <row r="42" spans="1:3" x14ac:dyDescent="0.3">
      <c r="A42" s="37">
        <f>A38</f>
        <v>98.029861710685296</v>
      </c>
      <c r="B42">
        <f>B10/Tabla5[[#This Row],[LEVEL OF OCCUPANCY]]</f>
        <v>0.12998531987313364</v>
      </c>
      <c r="C42">
        <f>C10/Tabla5[[#This Row],[LEVEL OF OCCUPANCY]]</f>
        <v>3.2917862666530566E-2</v>
      </c>
    </row>
    <row r="43" spans="1:3" x14ac:dyDescent="0.3">
      <c r="A43" s="37">
        <f>A39</f>
        <v>164.88622739737264</v>
      </c>
      <c r="B43">
        <f>B10/Tabla5[[#This Row],[LEVEL OF OCCUPANCY]]</f>
        <v>7.7280213955489702E-2</v>
      </c>
      <c r="C43">
        <f>C10/Tabla5[[#This Row],[LEVEL OF OCCUPANCY]]</f>
        <v>1.957066745929285E-2</v>
      </c>
    </row>
    <row r="44" spans="1:3" x14ac:dyDescent="0.3">
      <c r="A44" s="37" t="s">
        <v>103</v>
      </c>
    </row>
    <row r="45" spans="1:3" x14ac:dyDescent="0.3">
      <c r="A45" s="37">
        <f>'Passenger transport data'!H8</f>
        <v>69.979607337041585</v>
      </c>
      <c r="B45">
        <f>B11/Tabla5[[#This Row],[LEVEL OF OCCUPANCY]]</f>
        <v>0.25467500752503774</v>
      </c>
      <c r="C45">
        <f>C11/Tabla5[[#This Row],[LEVEL OF OCCUPANCY]]</f>
        <v>7.6657177265036361E-2</v>
      </c>
    </row>
    <row r="46" spans="1:3" x14ac:dyDescent="0.3">
      <c r="A46" s="37">
        <f>'Passenger transport data'!I8</f>
        <v>220.06165829258362</v>
      </c>
      <c r="B46">
        <f>B11/Tabla5[[#This Row],[LEVEL OF OCCUPANCY]]</f>
        <v>8.0986652392961989E-2</v>
      </c>
      <c r="C46">
        <f>C11/Tabla5[[#This Row],[LEVEL OF OCCUPANCY]]</f>
        <v>2.4376982370281561E-2</v>
      </c>
    </row>
    <row r="47" spans="1:3" x14ac:dyDescent="0.3">
      <c r="A47" s="37">
        <f>'Passenger transport data'!J8</f>
        <v>370.14370924812562</v>
      </c>
      <c r="B47">
        <f>B11/Tabla5[[#This Row],[LEVEL OF OCCUPANCY]]</f>
        <v>4.8149020447658737E-2</v>
      </c>
      <c r="C47">
        <f>C11/Tabla5[[#This Row],[LEVEL OF OCCUPANCY]]</f>
        <v>1.4492855154745281E-2</v>
      </c>
    </row>
    <row r="48" spans="1:3" x14ac:dyDescent="0.3">
      <c r="A48" t="s">
        <v>186</v>
      </c>
    </row>
    <row r="49" spans="1:3" x14ac:dyDescent="0.3">
      <c r="A49" s="37">
        <f>'Passenger transport data'!H6</f>
        <v>24.677019429377829</v>
      </c>
      <c r="B49">
        <f>B12/Tabla5[[#This Row],[LEVEL OF OCCUPANCY]]</f>
        <v>0.14515842640260196</v>
      </c>
      <c r="C49">
        <f>C12/Tabla5[[#This Row],[LEVEL OF OCCUPANCY]]</f>
        <v>4.3692686347183193E-2</v>
      </c>
    </row>
    <row r="50" spans="1:3" x14ac:dyDescent="0.3">
      <c r="A50" s="37">
        <f>'Passenger transport data'!I6</f>
        <v>77.600690029490025</v>
      </c>
      <c r="B50">
        <f>B12/Tabla5[[#This Row],[LEVEL OF OCCUPANCY]]</f>
        <v>4.6160379596027423E-2</v>
      </c>
      <c r="C50">
        <f>C12/Tabla5[[#This Row],[LEVEL OF OCCUPANCY]]</f>
        <v>1.3894274258404256E-2</v>
      </c>
    </row>
    <row r="51" spans="1:3" x14ac:dyDescent="0.3">
      <c r="A51" s="37">
        <f>'Passenger transport data'!J6</f>
        <v>130.52436062960223</v>
      </c>
      <c r="B51">
        <f>B12/Tabla5[[#This Row],[LEVEL OF OCCUPANCY]]</f>
        <v>2.7443745300848647E-2</v>
      </c>
      <c r="C51">
        <f>C12/Tabla5[[#This Row],[LEVEL OF OCCUPANCY]]</f>
        <v>8.2605673355554427E-3</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C7" sqref="C7"/>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9.5</v>
      </c>
      <c r="E2">
        <f>(Tabla1[[#This Row],[% fuel used for buses]]*C10+C3*((C11+C10)/2)+C4*((C12+C13+C14)/3)+C5*C15+C6*C16)/100</f>
        <v>0.2619394948409286</v>
      </c>
      <c r="F2" t="s">
        <v>47</v>
      </c>
    </row>
    <row r="3" spans="2:6" x14ac:dyDescent="0.3">
      <c r="B3" t="s">
        <v>161</v>
      </c>
      <c r="C3">
        <v>21.7</v>
      </c>
    </row>
    <row r="4" spans="2:6" x14ac:dyDescent="0.3">
      <c r="B4" t="s">
        <v>162</v>
      </c>
      <c r="C4">
        <v>0.8</v>
      </c>
      <c r="E4" t="s">
        <v>163</v>
      </c>
    </row>
    <row r="5" spans="2:6" x14ac:dyDescent="0.3">
      <c r="B5" t="s">
        <v>164</v>
      </c>
      <c r="C5">
        <v>0</v>
      </c>
      <c r="E5">
        <f>(C12+C13+C14)/3</f>
        <v>0.22800000000000001</v>
      </c>
      <c r="F5" t="s">
        <v>47</v>
      </c>
    </row>
    <row r="6" spans="2:6" x14ac:dyDescent="0.3">
      <c r="B6" t="s">
        <v>165</v>
      </c>
      <c r="C6">
        <v>68</v>
      </c>
    </row>
    <row r="9" spans="2:6" x14ac:dyDescent="0.3">
      <c r="B9" t="s">
        <v>166</v>
      </c>
      <c r="C9" t="s">
        <v>167</v>
      </c>
    </row>
    <row r="10" spans="2:6" x14ac:dyDescent="0.3">
      <c r="B10" t="s">
        <v>168</v>
      </c>
      <c r="C10">
        <f>'Passenger transport data'!D17</f>
        <v>0.30099999999999999</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2.78*1000/11630</f>
        <v>0.23903697334479793</v>
      </c>
    </row>
    <row r="16" spans="2:6" x14ac:dyDescent="0.3">
      <c r="B16" t="s">
        <v>165</v>
      </c>
      <c r="C16">
        <f>2.94*1000/11630</f>
        <v>0.25279449699054168</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85" t="s">
        <v>122</v>
      </c>
      <c r="C2" s="86"/>
      <c r="D2" s="86"/>
      <c r="E2" s="86"/>
      <c r="F2" s="86"/>
      <c r="G2" s="87"/>
      <c r="H2" s="85" t="s">
        <v>123</v>
      </c>
      <c r="I2" s="86"/>
      <c r="J2" s="86"/>
      <c r="K2" s="86"/>
      <c r="L2" s="86"/>
      <c r="M2" s="87"/>
    </row>
    <row r="3" spans="1:13" x14ac:dyDescent="0.3">
      <c r="B3" s="19" t="s">
        <v>104</v>
      </c>
      <c r="G3" s="20"/>
      <c r="H3" s="19" t="s">
        <v>104</v>
      </c>
      <c r="M3" s="20"/>
    </row>
    <row r="4" spans="1:13" x14ac:dyDescent="0.3">
      <c r="B4" s="88" t="s">
        <v>106</v>
      </c>
      <c r="C4">
        <v>4.0000000000000001E-3</v>
      </c>
      <c r="D4" t="s">
        <v>105</v>
      </c>
      <c r="E4" s="89" t="s">
        <v>112</v>
      </c>
      <c r="G4" s="20"/>
      <c r="H4" s="88" t="s">
        <v>106</v>
      </c>
      <c r="I4">
        <f>0.85/100</f>
        <v>8.5000000000000006E-3</v>
      </c>
      <c r="J4" t="s">
        <v>86</v>
      </c>
      <c r="K4" s="41" t="s">
        <v>112</v>
      </c>
      <c r="L4" s="23" t="s">
        <v>132</v>
      </c>
      <c r="M4" s="24"/>
    </row>
    <row r="5" spans="1:13" x14ac:dyDescent="0.3">
      <c r="B5" s="88"/>
      <c r="C5">
        <f>C4*10</f>
        <v>0.04</v>
      </c>
      <c r="D5" t="s">
        <v>86</v>
      </c>
      <c r="E5" s="89"/>
      <c r="F5" t="s">
        <v>149</v>
      </c>
      <c r="G5" s="20">
        <f>BUS!C15*1000</f>
        <v>239.03697334479793</v>
      </c>
      <c r="H5" s="88"/>
      <c r="K5" s="41" t="s">
        <v>150</v>
      </c>
      <c r="L5" s="9" t="s">
        <v>133</v>
      </c>
      <c r="M5" s="20"/>
    </row>
    <row r="6" spans="1:13" x14ac:dyDescent="0.3">
      <c r="B6" s="88"/>
      <c r="C6">
        <v>0.1</v>
      </c>
      <c r="D6" t="s">
        <v>66</v>
      </c>
      <c r="E6" s="89"/>
      <c r="G6" t="s">
        <v>108</v>
      </c>
      <c r="H6" s="88"/>
      <c r="I6">
        <f>2.8/100</f>
        <v>2.7999999999999997E-2</v>
      </c>
      <c r="J6" t="s">
        <v>66</v>
      </c>
      <c r="K6" s="41">
        <f>BUS!E5*1000</f>
        <v>228</v>
      </c>
      <c r="L6" s="9">
        <f>'Passenger transport data'!D16*1000</f>
        <v>245.91582782898644</v>
      </c>
      <c r="M6" s="20" t="s">
        <v>108</v>
      </c>
    </row>
    <row r="7" spans="1:13" x14ac:dyDescent="0.3">
      <c r="B7" s="19" t="s">
        <v>110</v>
      </c>
      <c r="C7">
        <v>80</v>
      </c>
      <c r="D7" t="s">
        <v>111</v>
      </c>
      <c r="E7" s="89"/>
      <c r="G7" s="20"/>
      <c r="H7" s="19" t="s">
        <v>110</v>
      </c>
      <c r="I7">
        <v>70</v>
      </c>
      <c r="J7" t="s">
        <v>111</v>
      </c>
      <c r="K7" s="42" t="s">
        <v>151</v>
      </c>
      <c r="L7" s="47" t="s">
        <v>134</v>
      </c>
      <c r="M7" s="90"/>
    </row>
    <row r="8" spans="1:13" ht="15" thickBot="1" x14ac:dyDescent="0.35">
      <c r="A8" s="83" t="s">
        <v>109</v>
      </c>
      <c r="B8" s="21" t="s">
        <v>107</v>
      </c>
      <c r="C8" s="22">
        <f>F8</f>
        <v>252.79449699054169</v>
      </c>
      <c r="D8" s="22" t="s">
        <v>108</v>
      </c>
      <c r="E8" s="22" t="s">
        <v>147</v>
      </c>
      <c r="F8" s="22">
        <f>BUS!C16*1000</f>
        <v>252.79449699054169</v>
      </c>
      <c r="G8" s="22" t="s">
        <v>108</v>
      </c>
      <c r="H8" s="21" t="s">
        <v>131</v>
      </c>
      <c r="I8" s="22">
        <f>BUS!C10*1000</f>
        <v>301</v>
      </c>
      <c r="J8" s="22" t="s">
        <v>108</v>
      </c>
      <c r="K8" s="43">
        <f>BUS!E2*1000</f>
        <v>261.9394948409286</v>
      </c>
      <c r="L8" s="91"/>
      <c r="M8" s="92"/>
    </row>
    <row r="9" spans="1:13" x14ac:dyDescent="0.3">
      <c r="A9" s="56"/>
      <c r="B9" s="11" t="s">
        <v>113</v>
      </c>
      <c r="C9" s="84" t="s">
        <v>114</v>
      </c>
      <c r="D9" s="84"/>
      <c r="E9" s="84"/>
      <c r="F9" s="84" t="s">
        <v>115</v>
      </c>
      <c r="G9" s="84"/>
      <c r="H9" s="1" t="s">
        <v>116</v>
      </c>
      <c r="I9" s="1" t="s">
        <v>118</v>
      </c>
      <c r="J9" s="1" t="s">
        <v>119</v>
      </c>
      <c r="K9" s="1" t="s">
        <v>117</v>
      </c>
    </row>
    <row r="10" spans="1:13" x14ac:dyDescent="0.3">
      <c r="A10" s="81" t="s">
        <v>152</v>
      </c>
      <c r="B10" s="81"/>
      <c r="C10" s="81"/>
      <c r="D10" s="81"/>
      <c r="E10" s="81"/>
      <c r="F10" s="81"/>
      <c r="G10" s="81"/>
      <c r="H10" s="81"/>
      <c r="I10" s="81"/>
      <c r="J10" s="81"/>
      <c r="K10" s="81"/>
    </row>
    <row r="11" spans="1:13" x14ac:dyDescent="0.3">
      <c r="A11" s="1">
        <v>1</v>
      </c>
      <c r="B11" s="1">
        <v>0</v>
      </c>
      <c r="C11" s="82">
        <f>C$5*B11/100</f>
        <v>0</v>
      </c>
      <c r="D11" s="82"/>
      <c r="E11" s="82"/>
      <c r="F11" s="82">
        <f>'Passenger transport data'!D13</f>
        <v>6.0864130369564293</v>
      </c>
      <c r="G11" s="82"/>
      <c r="H11" s="30">
        <f>F11/A11</f>
        <v>6.0864130369564293</v>
      </c>
      <c r="I11" s="1">
        <v>0</v>
      </c>
      <c r="J11" s="1">
        <f>I$8*F11</f>
        <v>1832.0103241238853</v>
      </c>
      <c r="K11" s="30">
        <f>J11/A11</f>
        <v>1832.0103241238853</v>
      </c>
    </row>
    <row r="12" spans="1:13" x14ac:dyDescent="0.3">
      <c r="A12" s="18">
        <f>'Passenger transport data'!H5</f>
        <v>6.2019425539672817</v>
      </c>
      <c r="B12" s="1">
        <f>C$7*A12</f>
        <v>496.15540431738253</v>
      </c>
      <c r="C12" s="82">
        <f>I$4*B12/100</f>
        <v>4.2173209366977521E-2</v>
      </c>
      <c r="D12" s="82"/>
      <c r="E12" s="82"/>
      <c r="F12" s="82">
        <f>F$11+C12</f>
        <v>6.1285862463234064</v>
      </c>
      <c r="G12" s="82"/>
      <c r="H12" s="27">
        <f t="shared" ref="H12:H14" si="0">F12/A12</f>
        <v>0.98817204335487585</v>
      </c>
      <c r="I12" s="1">
        <f>I$6*B12</f>
        <v>13.892351320886709</v>
      </c>
      <c r="J12" s="1">
        <f>F12*(I12+J$11)</f>
        <v>11312.773748782409</v>
      </c>
      <c r="K12" s="27">
        <f>J12/A12</f>
        <v>1824.0694186284927</v>
      </c>
    </row>
    <row r="13" spans="1:13" x14ac:dyDescent="0.3">
      <c r="A13" s="18">
        <f>'Passenger transport data'!I5</f>
        <v>19.502964006186421</v>
      </c>
      <c r="B13" s="1">
        <f t="shared" ref="B13:B14" si="1">C$7*A13</f>
        <v>1560.2371204949136</v>
      </c>
      <c r="C13" s="82">
        <f t="shared" ref="C13:C14" si="2">I$4*B13/100</f>
        <v>0.13262015524206766</v>
      </c>
      <c r="D13" s="82"/>
      <c r="E13" s="82"/>
      <c r="F13" s="82">
        <f t="shared" ref="F13:F14" si="3">F$11+C13</f>
        <v>6.2190331921984967</v>
      </c>
      <c r="G13" s="82"/>
      <c r="H13" s="27">
        <f t="shared" si="0"/>
        <v>0.31887630978685055</v>
      </c>
      <c r="I13" s="1">
        <f t="shared" ref="I13:I14" si="4">I$6*B13</f>
        <v>43.686639373857574</v>
      </c>
      <c r="J13" s="1">
        <f>F13*(I13+J$11)</f>
        <v>11665.021674498395</v>
      </c>
      <c r="K13" s="27">
        <f>J13/A13</f>
        <v>598.11532599856116</v>
      </c>
    </row>
    <row r="14" spans="1:13" x14ac:dyDescent="0.3">
      <c r="A14" s="18">
        <f>'Passenger transport data'!J5</f>
        <v>32.803985458405556</v>
      </c>
      <c r="B14" s="1">
        <f t="shared" si="1"/>
        <v>2624.3188366724444</v>
      </c>
      <c r="C14" s="82">
        <f t="shared" si="2"/>
        <v>0.2230671011171578</v>
      </c>
      <c r="D14" s="82"/>
      <c r="E14" s="82"/>
      <c r="F14" s="82">
        <f t="shared" si="3"/>
        <v>6.309480138073587</v>
      </c>
      <c r="G14" s="82"/>
      <c r="H14" s="27">
        <f t="shared" si="0"/>
        <v>0.19233882864854374</v>
      </c>
      <c r="I14" s="1">
        <f t="shared" si="4"/>
        <v>73.48092742682843</v>
      </c>
      <c r="J14" s="1">
        <f>F14*(I14+J$11)</f>
        <v>12022.65920493221</v>
      </c>
      <c r="K14" s="27">
        <f>J14/A14</f>
        <v>366.49995532331189</v>
      </c>
    </row>
    <row r="15" spans="1:13" x14ac:dyDescent="0.3">
      <c r="A15" s="81" t="s">
        <v>153</v>
      </c>
      <c r="B15" s="81"/>
      <c r="C15" s="81"/>
      <c r="D15" s="81"/>
      <c r="E15" s="81"/>
      <c r="F15" s="81"/>
      <c r="G15" s="81"/>
      <c r="H15" s="81"/>
      <c r="I15" s="81"/>
      <c r="J15" s="81"/>
      <c r="K15" s="81"/>
    </row>
    <row r="16" spans="1:13" x14ac:dyDescent="0.3">
      <c r="A16" s="1">
        <v>1</v>
      </c>
      <c r="B16" s="1">
        <v>0</v>
      </c>
      <c r="C16" s="82">
        <f>C$5*B16/100</f>
        <v>0</v>
      </c>
      <c r="D16" s="82"/>
      <c r="E16" s="82"/>
      <c r="F16" s="82">
        <f>'Passenger transport data'!D13</f>
        <v>6.0864130369564293</v>
      </c>
      <c r="G16" s="82"/>
      <c r="H16" s="30">
        <f>F16/A16</f>
        <v>6.0864130369564293</v>
      </c>
      <c r="I16" s="1">
        <v>0</v>
      </c>
      <c r="J16" s="1">
        <f>F16*(0.5*C$8+0.5*I$8)</f>
        <v>1685.3110231389805</v>
      </c>
      <c r="K16" s="30">
        <f>J16/A16</f>
        <v>1685.3110231389805</v>
      </c>
    </row>
    <row r="17" spans="1:11" x14ac:dyDescent="0.3">
      <c r="A17" s="18">
        <f>'Passenger transport data'!H5</f>
        <v>6.2019425539672817</v>
      </c>
      <c r="B17" s="1">
        <f>C$7*A17</f>
        <v>496.15540431738253</v>
      </c>
      <c r="C17" s="76">
        <f>B17*(0.5*I$4+0.5*C$5)/100</f>
        <v>0.12031768554696526</v>
      </c>
      <c r="D17" s="77"/>
      <c r="E17" s="78"/>
      <c r="F17" s="76">
        <f>F$16+C17</f>
        <v>6.2067307225033943</v>
      </c>
      <c r="G17" s="78"/>
      <c r="H17" s="27">
        <f>F17/A17</f>
        <v>1.0007720433548759</v>
      </c>
      <c r="I17" s="1">
        <f>B17*(0.5*C$6+0.5*I$6)/100</f>
        <v>0.31753945876312484</v>
      </c>
      <c r="J17" s="1">
        <f>F17*(I17+J$16)</f>
        <v>10462.242586204651</v>
      </c>
      <c r="K17" s="27">
        <f>J17/A17</f>
        <v>1686.9299409282862</v>
      </c>
    </row>
    <row r="18" spans="1:11" x14ac:dyDescent="0.3">
      <c r="A18" s="18">
        <f>'Passenger transport data'!I5</f>
        <v>19.502964006186421</v>
      </c>
      <c r="B18" s="1">
        <f t="shared" ref="B18:B19" si="5">C$7*A18</f>
        <v>1560.2371204949136</v>
      </c>
      <c r="C18" s="76">
        <f t="shared" ref="C18:C19" si="6">B18*(0.5*I$4+0.5*C$5)/100</f>
        <v>0.37835750172001653</v>
      </c>
      <c r="D18" s="77"/>
      <c r="E18" s="78"/>
      <c r="F18" s="76">
        <f t="shared" ref="F18:F19" si="7">F$16+C18</f>
        <v>6.4647705386764462</v>
      </c>
      <c r="G18" s="78"/>
      <c r="H18" s="27">
        <f t="shared" ref="H18:H19" si="8">F18/A18</f>
        <v>0.33147630978685055</v>
      </c>
      <c r="I18" s="1">
        <f t="shared" ref="I18:I19" si="9">B18*(0.5*C$6+0.5*I$6)/100</f>
        <v>0.99855175711674482</v>
      </c>
      <c r="J18" s="1">
        <f t="shared" ref="J18:J19" si="10">F18*(I18+J$16)</f>
        <v>10901.604458876292</v>
      </c>
      <c r="K18" s="27">
        <f t="shared" ref="K18:K19" si="11">J18/A18</f>
        <v>558.97167504479103</v>
      </c>
    </row>
    <row r="19" spans="1:11" x14ac:dyDescent="0.3">
      <c r="A19" s="18">
        <f>'Passenger transport data'!J5</f>
        <v>32.803985458405556</v>
      </c>
      <c r="B19" s="1">
        <f t="shared" si="5"/>
        <v>2624.3188366724444</v>
      </c>
      <c r="C19" s="76">
        <f t="shared" si="6"/>
        <v>0.63639731789306775</v>
      </c>
      <c r="D19" s="77"/>
      <c r="E19" s="78"/>
      <c r="F19" s="76">
        <f t="shared" si="7"/>
        <v>6.7228103548494973</v>
      </c>
      <c r="G19" s="78"/>
      <c r="H19" s="27">
        <f t="shared" si="8"/>
        <v>0.20493882864854376</v>
      </c>
      <c r="I19" s="1">
        <f t="shared" si="9"/>
        <v>1.6795640554703644</v>
      </c>
      <c r="J19" s="1">
        <f t="shared" si="10"/>
        <v>11341.317788124488</v>
      </c>
      <c r="K19" s="27">
        <f t="shared" si="11"/>
        <v>345.72987488074978</v>
      </c>
    </row>
    <row r="20" spans="1:11" x14ac:dyDescent="0.3">
      <c r="A20" s="81" t="s">
        <v>154</v>
      </c>
      <c r="B20" s="81"/>
      <c r="C20" s="81"/>
      <c r="D20" s="81"/>
      <c r="E20" s="81"/>
      <c r="F20" s="81"/>
      <c r="G20" s="81"/>
      <c r="H20" s="81"/>
      <c r="I20" s="81"/>
      <c r="J20" s="81"/>
      <c r="K20" s="81"/>
    </row>
    <row r="21" spans="1:11" x14ac:dyDescent="0.3">
      <c r="A21" s="1">
        <v>1</v>
      </c>
      <c r="B21" s="1">
        <v>0</v>
      </c>
      <c r="C21" s="76">
        <f>B21*C$5/100</f>
        <v>0</v>
      </c>
      <c r="D21" s="77"/>
      <c r="E21" s="78"/>
      <c r="F21" s="82">
        <f>'Passenger transport data'!D13</f>
        <v>6.0864130369564293</v>
      </c>
      <c r="G21" s="82"/>
      <c r="H21" s="30">
        <f>F21/A21</f>
        <v>6.0864130369564293</v>
      </c>
      <c r="I21" s="1">
        <v>0</v>
      </c>
      <c r="J21" s="1">
        <f>F21*K$6</f>
        <v>1387.7021724260658</v>
      </c>
      <c r="K21" s="30">
        <f>J21/A21</f>
        <v>1387.7021724260658</v>
      </c>
    </row>
    <row r="22" spans="1:11" x14ac:dyDescent="0.3">
      <c r="A22" s="18">
        <f>'Passenger transport data'!H5</f>
        <v>6.2019425539672817</v>
      </c>
      <c r="B22" s="1">
        <f>C$7*A22</f>
        <v>496.15540431738253</v>
      </c>
      <c r="C22" s="76">
        <f>B22*C$5/100</f>
        <v>0.19846216172695302</v>
      </c>
      <c r="D22" s="77"/>
      <c r="E22" s="78"/>
      <c r="F22" s="79">
        <f>F$21+C22</f>
        <v>6.2848751986833822</v>
      </c>
      <c r="G22" s="80"/>
      <c r="H22" s="27">
        <f t="shared" ref="H22:H24" si="12">F22/A22</f>
        <v>1.0133720433548759</v>
      </c>
      <c r="I22" s="1">
        <f>C$6*B22</f>
        <v>49.615540431738253</v>
      </c>
      <c r="J22" s="1">
        <f>F22*(I22+J$21)</f>
        <v>9033.3624461683357</v>
      </c>
      <c r="K22" s="27">
        <f t="shared" ref="K22:K24" si="13">J22/A22</f>
        <v>1456.5375876288697</v>
      </c>
    </row>
    <row r="23" spans="1:11" x14ac:dyDescent="0.3">
      <c r="A23" s="18">
        <f>'Passenger transport data'!I5</f>
        <v>19.502964006186421</v>
      </c>
      <c r="B23" s="1">
        <f t="shared" ref="B23:B24" si="14">C$7*A23</f>
        <v>1560.2371204949136</v>
      </c>
      <c r="C23" s="76">
        <f t="shared" ref="C23:C24" si="15">B23*C$5/100</f>
        <v>0.62409484819796546</v>
      </c>
      <c r="D23" s="77"/>
      <c r="E23" s="78"/>
      <c r="F23" s="76">
        <f>F$21+C23</f>
        <v>6.7105078851543949</v>
      </c>
      <c r="G23" s="78"/>
      <c r="H23" s="27">
        <f t="shared" si="12"/>
        <v>0.34407630978685055</v>
      </c>
      <c r="I23" s="1">
        <f t="shared" ref="I23:I24" si="16">C$6*B23</f>
        <v>156.02371204949137</v>
      </c>
      <c r="J23" s="1">
        <f t="shared" ref="J23:J24" si="17">F23*(I23+J$21)</f>
        <v>10359.18472029017</v>
      </c>
      <c r="K23" s="27">
        <f t="shared" si="13"/>
        <v>531.15950565279172</v>
      </c>
    </row>
    <row r="24" spans="1:11" x14ac:dyDescent="0.3">
      <c r="A24" s="18">
        <f>'Passenger transport data'!J5</f>
        <v>32.803985458405556</v>
      </c>
      <c r="B24" s="1">
        <f t="shared" si="14"/>
        <v>2624.3188366724444</v>
      </c>
      <c r="C24" s="76">
        <f t="shared" si="15"/>
        <v>1.0497275346689776</v>
      </c>
      <c r="D24" s="77"/>
      <c r="E24" s="78"/>
      <c r="F24" s="76">
        <f t="shared" ref="F24" si="18">F$21+C24</f>
        <v>7.1361405716254067</v>
      </c>
      <c r="G24" s="78"/>
      <c r="H24" s="27">
        <f t="shared" si="12"/>
        <v>0.21753882864854374</v>
      </c>
      <c r="I24" s="1">
        <f t="shared" si="16"/>
        <v>262.43188366724445</v>
      </c>
      <c r="J24" s="1">
        <f t="shared" si="17"/>
        <v>11775.588586308266</v>
      </c>
      <c r="K24" s="27">
        <f t="shared" si="13"/>
        <v>358.96822967560905</v>
      </c>
    </row>
    <row r="25" spans="1:11" x14ac:dyDescent="0.3">
      <c r="A25" s="81" t="s">
        <v>155</v>
      </c>
      <c r="B25" s="81"/>
      <c r="C25" s="81"/>
      <c r="D25" s="81"/>
      <c r="E25" s="81"/>
      <c r="F25" s="81"/>
      <c r="G25" s="81"/>
      <c r="H25" s="81"/>
      <c r="I25" s="81"/>
      <c r="J25" s="81"/>
      <c r="K25" s="81"/>
    </row>
    <row r="26" spans="1:11" x14ac:dyDescent="0.3">
      <c r="A26" s="1">
        <v>1</v>
      </c>
      <c r="B26" s="1">
        <v>0</v>
      </c>
      <c r="C26" s="76">
        <f>B26*C$5/100</f>
        <v>0</v>
      </c>
      <c r="D26" s="77"/>
      <c r="E26" s="78"/>
      <c r="F26" s="82">
        <f>'Passenger transport data'!D13</f>
        <v>6.0864130369564293</v>
      </c>
      <c r="G26" s="82"/>
      <c r="H26" s="30">
        <f>F26/A26</f>
        <v>6.0864130369564293</v>
      </c>
      <c r="I26" s="1">
        <v>0</v>
      </c>
      <c r="J26" s="1">
        <f>C$8*F26</f>
        <v>1538.6117221540758</v>
      </c>
      <c r="K26" s="30">
        <f>J26/A26</f>
        <v>1538.6117221540758</v>
      </c>
    </row>
    <row r="27" spans="1:11" x14ac:dyDescent="0.3">
      <c r="A27" s="18">
        <f>'Passenger transport data'!H5</f>
        <v>6.2019425539672817</v>
      </c>
      <c r="B27" s="1">
        <f>C$7*A27</f>
        <v>496.15540431738253</v>
      </c>
      <c r="C27" s="76">
        <f>B27*C$5/100</f>
        <v>0.19846216172695302</v>
      </c>
      <c r="D27" s="77"/>
      <c r="E27" s="78"/>
      <c r="F27" s="79">
        <f>F$26+C27</f>
        <v>6.2848751986833822</v>
      </c>
      <c r="G27" s="80"/>
      <c r="H27" s="27">
        <f>F27/A27</f>
        <v>1.0133720433548759</v>
      </c>
      <c r="I27" s="1">
        <f>C$6*B27</f>
        <v>49.615540431738253</v>
      </c>
      <c r="J27" s="1">
        <f>F27*(I27+J$26)</f>
        <v>9981.8101324983818</v>
      </c>
      <c r="K27" s="27">
        <f>J27/A27</f>
        <v>1609.4651063985075</v>
      </c>
    </row>
    <row r="28" spans="1:11" x14ac:dyDescent="0.3">
      <c r="A28" s="18">
        <f>'Passenger transport data'!I5</f>
        <v>19.502964006186421</v>
      </c>
      <c r="B28" s="1">
        <f t="shared" ref="B28:B29" si="19">C$7*A28</f>
        <v>1560.2371204949136</v>
      </c>
      <c r="C28" s="76">
        <f t="shared" ref="C28:C29" si="20">B28*C$5/100</f>
        <v>0.62409484819796546</v>
      </c>
      <c r="D28" s="77"/>
      <c r="E28" s="78"/>
      <c r="F28" s="79">
        <f t="shared" ref="F28:F29" si="21">F$26+C28</f>
        <v>6.7105078851543949</v>
      </c>
      <c r="G28" s="80"/>
      <c r="H28" s="27">
        <f t="shared" ref="H28:H29" si="22">F28/A28</f>
        <v>0.34407630978685055</v>
      </c>
      <c r="I28" s="1">
        <f t="shared" ref="I28:I29" si="23">C$6*B28</f>
        <v>156.02371204949137</v>
      </c>
      <c r="J28" s="1">
        <f t="shared" ref="J28:J29" si="24">F28*(I28+J$26)</f>
        <v>11371.864443685079</v>
      </c>
      <c r="K28" s="27">
        <f t="shared" ref="K28:K29" si="25">J28/A28</f>
        <v>583.08390663480054</v>
      </c>
    </row>
    <row r="29" spans="1:11" x14ac:dyDescent="0.3">
      <c r="A29" s="18">
        <f>'Passenger transport data'!J5</f>
        <v>32.803985458405556</v>
      </c>
      <c r="B29" s="1">
        <f t="shared" si="19"/>
        <v>2624.3188366724444</v>
      </c>
      <c r="C29" s="76">
        <f t="shared" si="20"/>
        <v>1.0497275346689776</v>
      </c>
      <c r="D29" s="77"/>
      <c r="E29" s="78"/>
      <c r="F29" s="79">
        <f t="shared" si="21"/>
        <v>7.1361405716254067</v>
      </c>
      <c r="G29" s="80"/>
      <c r="H29" s="27">
        <f t="shared" si="22"/>
        <v>0.21753882864854374</v>
      </c>
      <c r="I29" s="1">
        <f t="shared" si="23"/>
        <v>262.43188366724445</v>
      </c>
      <c r="J29" s="1">
        <f t="shared" si="24"/>
        <v>12852.50034676804</v>
      </c>
      <c r="K29" s="27">
        <f t="shared" si="25"/>
        <v>391.79691635531952</v>
      </c>
    </row>
    <row r="30" spans="1:11" x14ac:dyDescent="0.3">
      <c r="A30" s="81" t="s">
        <v>156</v>
      </c>
      <c r="B30" s="81"/>
      <c r="C30" s="81"/>
      <c r="D30" s="81"/>
      <c r="E30" s="81"/>
      <c r="F30" s="81"/>
      <c r="G30" s="81"/>
      <c r="H30" s="81"/>
      <c r="I30" s="81"/>
      <c r="J30" s="81"/>
      <c r="K30" s="81"/>
    </row>
    <row r="31" spans="1:11" x14ac:dyDescent="0.3">
      <c r="A31" s="1">
        <v>1</v>
      </c>
      <c r="B31" s="1">
        <v>0</v>
      </c>
      <c r="C31" s="76">
        <f>B31*C$5/100</f>
        <v>0</v>
      </c>
      <c r="D31" s="77"/>
      <c r="E31" s="78"/>
      <c r="F31" s="82">
        <f>'Passenger transport data'!D13</f>
        <v>6.0864130369564293</v>
      </c>
      <c r="G31" s="82"/>
      <c r="H31" s="30">
        <f>F31/A31</f>
        <v>6.0864130369564293</v>
      </c>
      <c r="I31" s="1">
        <v>0</v>
      </c>
      <c r="J31" s="1">
        <f>K$8*F31</f>
        <v>1594.2719562936093</v>
      </c>
      <c r="K31" s="30">
        <f>J31/A31</f>
        <v>1594.2719562936093</v>
      </c>
    </row>
    <row r="32" spans="1:11" x14ac:dyDescent="0.3">
      <c r="A32" s="18">
        <f>'Passenger transport data'!H5</f>
        <v>6.2019425539672817</v>
      </c>
      <c r="B32" s="1">
        <f>C$7*A32</f>
        <v>496.15540431738253</v>
      </c>
      <c r="C32" s="76">
        <f>B32*C$5/100</f>
        <v>0.19846216172695302</v>
      </c>
      <c r="D32" s="77"/>
      <c r="E32" s="78"/>
      <c r="F32" s="79">
        <f>F$31+C32</f>
        <v>6.2848751986833822</v>
      </c>
      <c r="G32" s="80"/>
      <c r="H32" s="27">
        <f>F32/A32</f>
        <v>1.0133720433548759</v>
      </c>
      <c r="I32" s="1">
        <f>C$6*B32</f>
        <v>49.615540431738253</v>
      </c>
      <c r="J32" s="1">
        <f>F32*(I32+J$31)</f>
        <v>10331.627757594846</v>
      </c>
      <c r="K32" s="27">
        <f t="shared" ref="K32:K34" si="26">J32/A32</f>
        <v>1665.8696316020973</v>
      </c>
    </row>
    <row r="33" spans="1:11" x14ac:dyDescent="0.3">
      <c r="A33" s="18">
        <f>'Passenger transport data'!I5</f>
        <v>19.502964006186421</v>
      </c>
      <c r="B33" s="1">
        <f t="shared" ref="B33:B34" si="27">C$7*A33</f>
        <v>1560.2371204949136</v>
      </c>
      <c r="C33" s="76">
        <f t="shared" ref="C33:C34" si="28">B33*C$5/100</f>
        <v>0.62409484819796546</v>
      </c>
      <c r="D33" s="77"/>
      <c r="E33" s="78"/>
      <c r="F33" s="79">
        <f t="shared" ref="F33:F34" si="29">F$31+C33</f>
        <v>6.7105078851543949</v>
      </c>
      <c r="G33" s="80"/>
      <c r="H33" s="27">
        <f t="shared" ref="H33:H34" si="30">F33/A33</f>
        <v>0.34407630978685055</v>
      </c>
      <c r="I33" s="1">
        <f t="shared" ref="I33:I34" si="31">C$6*B33</f>
        <v>156.02371204949137</v>
      </c>
      <c r="J33" s="1">
        <f t="shared" ref="J33:J34" si="32">F33*(I33+J$31)</f>
        <v>11745.372883767959</v>
      </c>
      <c r="K33" s="27">
        <f t="shared" si="26"/>
        <v>602.2352745994034</v>
      </c>
    </row>
    <row r="34" spans="1:11" x14ac:dyDescent="0.3">
      <c r="A34" s="18">
        <f>'Passenger transport data'!J5</f>
        <v>32.803985458405556</v>
      </c>
      <c r="B34" s="1">
        <f t="shared" si="27"/>
        <v>2624.3188366724444</v>
      </c>
      <c r="C34" s="76">
        <f t="shared" si="28"/>
        <v>1.0497275346689776</v>
      </c>
      <c r="D34" s="77"/>
      <c r="E34" s="78"/>
      <c r="F34" s="79">
        <f t="shared" si="29"/>
        <v>7.1361405716254067</v>
      </c>
      <c r="G34" s="80"/>
      <c r="H34" s="27">
        <f t="shared" si="30"/>
        <v>0.21753882864854374</v>
      </c>
      <c r="I34" s="1">
        <f t="shared" si="31"/>
        <v>262.43188366724445</v>
      </c>
      <c r="J34" s="1">
        <f t="shared" si="32"/>
        <v>13249.699601837334</v>
      </c>
      <c r="K34" s="27">
        <f t="shared" si="26"/>
        <v>403.90517849233731</v>
      </c>
    </row>
  </sheetData>
  <mergeCells count="54">
    <mergeCell ref="B2:G2"/>
    <mergeCell ref="H2:M2"/>
    <mergeCell ref="B4:B6"/>
    <mergeCell ref="E4:E7"/>
    <mergeCell ref="H4:H6"/>
    <mergeCell ref="L7:M8"/>
    <mergeCell ref="A8:A9"/>
    <mergeCell ref="C9:E9"/>
    <mergeCell ref="F9:G9"/>
    <mergeCell ref="A10:K10"/>
    <mergeCell ref="C11:E11"/>
    <mergeCell ref="F11:G11"/>
    <mergeCell ref="C18:E18"/>
    <mergeCell ref="F18:G18"/>
    <mergeCell ref="C12:E12"/>
    <mergeCell ref="F12:G12"/>
    <mergeCell ref="C13:E13"/>
    <mergeCell ref="F13:G13"/>
    <mergeCell ref="C14:E14"/>
    <mergeCell ref="F14:G14"/>
    <mergeCell ref="A15:K15"/>
    <mergeCell ref="C16:E16"/>
    <mergeCell ref="F16:G16"/>
    <mergeCell ref="C17:E17"/>
    <mergeCell ref="F17:G17"/>
    <mergeCell ref="C22:E22"/>
    <mergeCell ref="F22:G22"/>
    <mergeCell ref="C23:E23"/>
    <mergeCell ref="F23:G23"/>
    <mergeCell ref="C24:E24"/>
    <mergeCell ref="F24:G24"/>
    <mergeCell ref="C19:E19"/>
    <mergeCell ref="F19:G19"/>
    <mergeCell ref="A20:K20"/>
    <mergeCell ref="C21:E21"/>
    <mergeCell ref="F21:G21"/>
    <mergeCell ref="C28:E28"/>
    <mergeCell ref="F28:G28"/>
    <mergeCell ref="A25:K25"/>
    <mergeCell ref="C26:E26"/>
    <mergeCell ref="F26:G26"/>
    <mergeCell ref="C27:E27"/>
    <mergeCell ref="F27:G27"/>
    <mergeCell ref="C33:E33"/>
    <mergeCell ref="F33:G33"/>
    <mergeCell ref="C34:E34"/>
    <mergeCell ref="F34:G34"/>
    <mergeCell ref="C29:E29"/>
    <mergeCell ref="F29:G29"/>
    <mergeCell ref="A30:K30"/>
    <mergeCell ref="C31:E31"/>
    <mergeCell ref="F31:G31"/>
    <mergeCell ref="C32:E32"/>
    <mergeCell ref="F32:G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zoomScale="80" zoomScaleNormal="80" workbookViewId="0">
      <selection activeCell="F8" sqref="F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122</v>
      </c>
      <c r="C2" s="86"/>
      <c r="D2" s="86"/>
      <c r="E2" s="86"/>
      <c r="F2" s="86"/>
      <c r="G2" s="87"/>
    </row>
    <row r="3" spans="1:11" x14ac:dyDescent="0.3">
      <c r="B3" s="19" t="s">
        <v>104</v>
      </c>
      <c r="C3" s="8"/>
      <c r="D3" s="8"/>
      <c r="E3" s="8"/>
      <c r="F3" s="8"/>
      <c r="G3" s="20"/>
    </row>
    <row r="4" spans="1:11" x14ac:dyDescent="0.3">
      <c r="B4" s="88" t="s">
        <v>106</v>
      </c>
      <c r="C4" s="8">
        <v>4.0000000000000001E-3</v>
      </c>
      <c r="D4" s="8" t="s">
        <v>105</v>
      </c>
      <c r="E4" s="93" t="s">
        <v>112</v>
      </c>
      <c r="F4" s="8"/>
      <c r="G4" s="20"/>
    </row>
    <row r="5" spans="1:11" x14ac:dyDescent="0.3">
      <c r="B5" s="88"/>
      <c r="C5" s="8">
        <f>C4*10</f>
        <v>0.04</v>
      </c>
      <c r="D5" s="8" t="s">
        <v>86</v>
      </c>
      <c r="E5" s="93"/>
      <c r="F5" s="8"/>
      <c r="G5" s="20"/>
    </row>
    <row r="6" spans="1:11" x14ac:dyDescent="0.3">
      <c r="B6" s="88"/>
      <c r="C6" s="8">
        <v>0.1</v>
      </c>
      <c r="D6" s="8" t="s">
        <v>66</v>
      </c>
      <c r="E6" s="93"/>
      <c r="F6" s="8"/>
      <c r="G6" s="20"/>
    </row>
    <row r="7" spans="1:11" x14ac:dyDescent="0.3">
      <c r="B7" s="19" t="s">
        <v>110</v>
      </c>
      <c r="C7" s="8">
        <v>80</v>
      </c>
      <c r="D7" s="8" t="s">
        <v>111</v>
      </c>
      <c r="E7" s="93"/>
      <c r="F7" s="8"/>
      <c r="G7" s="20"/>
    </row>
    <row r="8" spans="1:11" ht="15" thickBot="1" x14ac:dyDescent="0.35">
      <c r="A8" s="83" t="s">
        <v>109</v>
      </c>
      <c r="B8" s="21" t="s">
        <v>107</v>
      </c>
      <c r="C8" s="25">
        <f>'Passenger transport data'!D16*10^3</f>
        <v>245.91582782898644</v>
      </c>
      <c r="D8" s="22" t="s">
        <v>108</v>
      </c>
      <c r="E8" s="22" t="s">
        <v>147</v>
      </c>
      <c r="F8" s="22">
        <f>'Passenger transport data'!D15*10^3</f>
        <v>253.24292542156741</v>
      </c>
      <c r="G8" s="22" t="s">
        <v>108</v>
      </c>
    </row>
    <row r="9" spans="1:11" x14ac:dyDescent="0.3">
      <c r="A9" s="56"/>
      <c r="B9" s="11" t="s">
        <v>113</v>
      </c>
      <c r="C9" s="84" t="s">
        <v>114</v>
      </c>
      <c r="D9" s="84"/>
      <c r="E9" s="84"/>
      <c r="F9" s="84" t="s">
        <v>115</v>
      </c>
      <c r="G9" s="84"/>
      <c r="H9" s="1" t="s">
        <v>116</v>
      </c>
      <c r="I9" s="1" t="s">
        <v>118</v>
      </c>
      <c r="J9" s="1" t="s">
        <v>119</v>
      </c>
      <c r="K9" s="1" t="s">
        <v>117</v>
      </c>
    </row>
    <row r="10" spans="1:11" x14ac:dyDescent="0.3">
      <c r="A10" s="81" t="s">
        <v>120</v>
      </c>
      <c r="B10" s="81"/>
      <c r="C10" s="81"/>
      <c r="D10" s="81"/>
      <c r="E10" s="81"/>
      <c r="F10" s="81"/>
      <c r="G10" s="81"/>
      <c r="H10" s="81"/>
      <c r="I10" s="81"/>
      <c r="J10" s="81"/>
      <c r="K10" s="81"/>
    </row>
    <row r="11" spans="1:11" x14ac:dyDescent="0.3">
      <c r="A11" s="1">
        <v>1</v>
      </c>
      <c r="B11" s="1">
        <v>0</v>
      </c>
      <c r="C11" s="82">
        <f>C$5*B11/100</f>
        <v>0</v>
      </c>
      <c r="D11" s="82"/>
      <c r="E11" s="82"/>
      <c r="F11" s="98">
        <f>'Passenger transport data'!D10</f>
        <v>0.72691823989654092</v>
      </c>
      <c r="G11" s="98"/>
      <c r="H11" s="27">
        <f>F11/A11</f>
        <v>0.72691823989654092</v>
      </c>
      <c r="I11" s="1">
        <v>0</v>
      </c>
      <c r="J11" s="1">
        <f>C$8*F11</f>
        <v>178.76070072814761</v>
      </c>
      <c r="K11" s="27">
        <f>J11/A11</f>
        <v>178.76070072814761</v>
      </c>
    </row>
    <row r="12" spans="1:11" x14ac:dyDescent="0.3">
      <c r="A12" s="1">
        <v>2</v>
      </c>
      <c r="B12" s="1">
        <f>B11+C$7</f>
        <v>80</v>
      </c>
      <c r="C12" s="82">
        <f>C$5*B12/100</f>
        <v>3.2000000000000001E-2</v>
      </c>
      <c r="D12" s="82"/>
      <c r="E12" s="82"/>
      <c r="F12" s="82">
        <f>F$11+C12</f>
        <v>0.75891823989654095</v>
      </c>
      <c r="G12" s="82"/>
      <c r="H12" s="27">
        <f t="shared" ref="H12:H15" si="0">F12/A12</f>
        <v>0.37945911994827047</v>
      </c>
      <c r="I12" s="1">
        <f>C$6*B12</f>
        <v>8</v>
      </c>
      <c r="J12" s="1">
        <f>F12*(I12+J$11)</f>
        <v>141.73610227845043</v>
      </c>
      <c r="K12" s="27">
        <f t="shared" ref="K12:K15" si="1">J12/A12</f>
        <v>70.868051139225216</v>
      </c>
    </row>
    <row r="13" spans="1:11" x14ac:dyDescent="0.3">
      <c r="A13" s="1">
        <v>3</v>
      </c>
      <c r="B13" s="1">
        <f t="shared" ref="B13:B15" si="2">B12+C$7</f>
        <v>160</v>
      </c>
      <c r="C13" s="82">
        <f>C$5*B13/100</f>
        <v>6.4000000000000001E-2</v>
      </c>
      <c r="D13" s="82"/>
      <c r="E13" s="82"/>
      <c r="F13" s="82">
        <f t="shared" ref="F13:F15" si="3">F$11+C13</f>
        <v>0.79091823989654086</v>
      </c>
      <c r="G13" s="82"/>
      <c r="H13" s="27">
        <f t="shared" si="0"/>
        <v>0.26363941329884694</v>
      </c>
      <c r="I13" s="1">
        <f t="shared" ref="I13:I15" si="4">C$6*B13</f>
        <v>16</v>
      </c>
      <c r="J13" s="1">
        <f t="shared" ref="J13:J15" si="5">F13*(I13+J$11)</f>
        <v>154.03979062092344</v>
      </c>
      <c r="K13" s="27">
        <f t="shared" si="1"/>
        <v>51.346596873641147</v>
      </c>
    </row>
    <row r="14" spans="1:11" x14ac:dyDescent="0.3">
      <c r="A14" s="1">
        <v>4</v>
      </c>
      <c r="B14" s="1">
        <f t="shared" si="2"/>
        <v>240</v>
      </c>
      <c r="C14" s="82">
        <f>C$5*B14/100</f>
        <v>9.6000000000000002E-2</v>
      </c>
      <c r="D14" s="82"/>
      <c r="E14" s="82"/>
      <c r="F14" s="82">
        <f t="shared" si="3"/>
        <v>0.82291823989654089</v>
      </c>
      <c r="G14" s="82"/>
      <c r="H14" s="27">
        <f t="shared" si="0"/>
        <v>0.20572955997413522</v>
      </c>
      <c r="I14" s="1">
        <f t="shared" si="4"/>
        <v>24</v>
      </c>
      <c r="J14" s="1">
        <f t="shared" si="5"/>
        <v>166.85547896339651</v>
      </c>
      <c r="K14" s="27">
        <f t="shared" si="1"/>
        <v>41.713869740849127</v>
      </c>
    </row>
    <row r="15" spans="1:11" x14ac:dyDescent="0.3">
      <c r="A15" s="1">
        <v>5</v>
      </c>
      <c r="B15" s="1">
        <f t="shared" si="2"/>
        <v>320</v>
      </c>
      <c r="C15" s="82">
        <f>C$5*B15/100</f>
        <v>0.128</v>
      </c>
      <c r="D15" s="82"/>
      <c r="E15" s="82"/>
      <c r="F15" s="82">
        <f t="shared" si="3"/>
        <v>0.85491823989654092</v>
      </c>
      <c r="G15" s="82"/>
      <c r="H15" s="27">
        <f t="shared" si="0"/>
        <v>0.17098364797930818</v>
      </c>
      <c r="I15" s="1">
        <f t="shared" si="4"/>
        <v>32</v>
      </c>
      <c r="J15" s="1">
        <f t="shared" si="5"/>
        <v>180.18316730586957</v>
      </c>
      <c r="K15" s="27">
        <f t="shared" si="1"/>
        <v>36.036633461173913</v>
      </c>
    </row>
    <row r="16" spans="1:11" x14ac:dyDescent="0.3">
      <c r="A16" s="81" t="s">
        <v>121</v>
      </c>
      <c r="B16" s="81"/>
      <c r="C16" s="81"/>
      <c r="D16" s="81"/>
      <c r="E16" s="81"/>
      <c r="F16" s="81"/>
      <c r="G16" s="81"/>
      <c r="H16" s="81"/>
      <c r="I16" s="81"/>
      <c r="J16" s="81"/>
      <c r="K16" s="81"/>
    </row>
    <row r="17" spans="1:11" x14ac:dyDescent="0.3">
      <c r="A17" s="1">
        <v>1</v>
      </c>
      <c r="B17" s="1">
        <v>0</v>
      </c>
      <c r="C17" s="82">
        <f>C$5*B17/100</f>
        <v>0</v>
      </c>
      <c r="D17" s="82"/>
      <c r="E17" s="82"/>
      <c r="F17" s="98">
        <f>'Passenger transport data'!D8</f>
        <v>0.47942292805265879</v>
      </c>
      <c r="G17" s="98"/>
      <c r="H17" s="27">
        <f>F17/A17</f>
        <v>0.47942292805265879</v>
      </c>
      <c r="I17" s="1">
        <v>0</v>
      </c>
      <c r="J17" s="1">
        <f>C$8*F17</f>
        <v>117.8976862322662</v>
      </c>
      <c r="K17" s="27">
        <f>J17/A17</f>
        <v>117.8976862322662</v>
      </c>
    </row>
    <row r="18" spans="1:11" x14ac:dyDescent="0.3">
      <c r="A18" s="1">
        <v>2</v>
      </c>
      <c r="B18" s="1">
        <f>C7+B17</f>
        <v>80</v>
      </c>
      <c r="C18" s="82">
        <f>C$5*B18/100</f>
        <v>3.2000000000000001E-2</v>
      </c>
      <c r="D18" s="82"/>
      <c r="E18" s="82"/>
      <c r="F18" s="82">
        <f>F17+C18</f>
        <v>0.51142292805265877</v>
      </c>
      <c r="G18" s="82"/>
      <c r="H18" s="27">
        <f>F18/A18</f>
        <v>0.25571146402632938</v>
      </c>
      <c r="I18" s="1">
        <f>C6*B18</f>
        <v>8</v>
      </c>
      <c r="J18" s="1">
        <f>F18*(I18+J17)</f>
        <v>64.386963327960487</v>
      </c>
      <c r="K18" s="27">
        <f>J18/A18</f>
        <v>32.193481663980243</v>
      </c>
    </row>
    <row r="19" spans="1:11" x14ac:dyDescent="0.3">
      <c r="A19" s="81" t="s">
        <v>87</v>
      </c>
      <c r="B19" s="81"/>
      <c r="C19" s="81"/>
      <c r="D19" s="81"/>
      <c r="E19" s="81"/>
      <c r="F19" s="81"/>
      <c r="G19" s="81"/>
      <c r="H19" s="81"/>
      <c r="I19" s="81"/>
      <c r="J19" s="81"/>
      <c r="K19" s="81"/>
    </row>
    <row r="20" spans="1:11" x14ac:dyDescent="0.3">
      <c r="A20" s="1">
        <v>1</v>
      </c>
      <c r="B20" s="1">
        <v>0</v>
      </c>
      <c r="C20" s="76">
        <f>B20*C$5/100</f>
        <v>0</v>
      </c>
      <c r="D20" s="77"/>
      <c r="E20" s="78"/>
      <c r="F20" s="94">
        <f>'Passenger transport data'!D13</f>
        <v>6.0864130369564293</v>
      </c>
      <c r="G20" s="95"/>
      <c r="H20" s="30">
        <f>F20/A20</f>
        <v>6.0864130369564293</v>
      </c>
      <c r="I20" s="1">
        <v>0</v>
      </c>
      <c r="J20" s="1">
        <f>C$8*F20</f>
        <v>1496.7453004922756</v>
      </c>
      <c r="K20" s="1">
        <f>J20/A20</f>
        <v>1496.7453004922756</v>
      </c>
    </row>
    <row r="21" spans="1:11" x14ac:dyDescent="0.3">
      <c r="A21" s="18">
        <f>'Passenger transport data'!H5</f>
        <v>6.2019425539672817</v>
      </c>
      <c r="B21" s="1">
        <f>C$7*A21</f>
        <v>496.15540431738253</v>
      </c>
      <c r="C21" s="76">
        <f>B21*C$5/100</f>
        <v>0.19846216172695302</v>
      </c>
      <c r="D21" s="77"/>
      <c r="E21" s="78"/>
      <c r="F21" s="96">
        <f>F$20+C21</f>
        <v>6.2848751986833822</v>
      </c>
      <c r="G21" s="97"/>
      <c r="H21" s="27">
        <f t="shared" ref="H21:H23" si="6">F21/A21</f>
        <v>1.0133720433548759</v>
      </c>
      <c r="I21" s="1">
        <f>C$6*B21</f>
        <v>49.615540431738253</v>
      </c>
      <c r="J21" s="1">
        <f>F21*(I21+J$20)</f>
        <v>9718.6848973385131</v>
      </c>
      <c r="K21" s="27">
        <f t="shared" ref="K21:K23" si="7">J21/A21</f>
        <v>1567.0388451311321</v>
      </c>
    </row>
    <row r="22" spans="1:11" x14ac:dyDescent="0.3">
      <c r="A22" s="18">
        <f>'Passenger transport data'!I5</f>
        <v>19.502964006186421</v>
      </c>
      <c r="B22" s="1">
        <f t="shared" ref="B22:B23" si="8">C$7*A22</f>
        <v>1560.2371204949136</v>
      </c>
      <c r="C22" s="76">
        <f t="shared" ref="C22:C23" si="9">B22*C$5/100</f>
        <v>0.62409484819796546</v>
      </c>
      <c r="D22" s="77"/>
      <c r="E22" s="78"/>
      <c r="F22" s="76">
        <f>F$20+C22</f>
        <v>6.7105078851543949</v>
      </c>
      <c r="G22" s="78"/>
      <c r="H22" s="27">
        <f t="shared" si="6"/>
        <v>0.34407630978685055</v>
      </c>
      <c r="I22" s="1">
        <f t="shared" ref="I22:I23" si="10">C$6*B22</f>
        <v>156.02371204949137</v>
      </c>
      <c r="J22" s="1">
        <f t="shared" ref="J22:J23" si="11">F22*(I22+J$20)</f>
        <v>11090.919491000372</v>
      </c>
      <c r="K22" s="27">
        <f t="shared" si="7"/>
        <v>568.67866276542816</v>
      </c>
    </row>
    <row r="23" spans="1:11" x14ac:dyDescent="0.3">
      <c r="A23" s="18">
        <f>'Passenger transport data'!J5</f>
        <v>32.803985458405556</v>
      </c>
      <c r="B23" s="1">
        <f t="shared" si="8"/>
        <v>2624.3188366724444</v>
      </c>
      <c r="C23" s="76">
        <f t="shared" si="9"/>
        <v>1.0497275346689776</v>
      </c>
      <c r="D23" s="77"/>
      <c r="E23" s="78"/>
      <c r="F23" s="76">
        <f t="shared" ref="F23" si="12">F$20+C23</f>
        <v>7.1361405716254067</v>
      </c>
      <c r="G23" s="78"/>
      <c r="H23" s="27">
        <f t="shared" si="6"/>
        <v>0.21753882864854374</v>
      </c>
      <c r="I23" s="1">
        <f t="shared" si="10"/>
        <v>262.43188366724445</v>
      </c>
      <c r="J23" s="1">
        <f t="shared" si="11"/>
        <v>12553.73567655849</v>
      </c>
      <c r="K23" s="27">
        <f t="shared" si="7"/>
        <v>382.68934402730548</v>
      </c>
    </row>
    <row r="24" spans="1:11" x14ac:dyDescent="0.3">
      <c r="A24" t="s">
        <v>146</v>
      </c>
    </row>
    <row r="25" spans="1:11" x14ac:dyDescent="0.3">
      <c r="A25">
        <v>1</v>
      </c>
      <c r="B25" s="1">
        <v>0</v>
      </c>
      <c r="C25" s="76">
        <f>B25*C$5/100</f>
        <v>0</v>
      </c>
      <c r="D25" s="77"/>
      <c r="E25" s="78"/>
      <c r="F25" s="76">
        <f>'[3]Passenger transport data'!D25</f>
        <v>19.224390000000003</v>
      </c>
      <c r="G25" s="78"/>
      <c r="H25" s="30">
        <f>F25/A25</f>
        <v>19.224390000000003</v>
      </c>
      <c r="I25" s="1">
        <v>0</v>
      </c>
      <c r="J25" s="1">
        <f>F$8*F25</f>
        <v>4868.4407630451269</v>
      </c>
      <c r="K25" s="30">
        <f>J25/A25</f>
        <v>4868.4407630451269</v>
      </c>
    </row>
    <row r="26" spans="1:11" x14ac:dyDescent="0.3">
      <c r="A26" s="37">
        <f>'Passenger transport data'!H7</f>
        <v>31.173496023997924</v>
      </c>
      <c r="B26" s="1">
        <f>C$7*A26</f>
        <v>2493.8796819198337</v>
      </c>
      <c r="C26" s="76">
        <f>B26*C$5/100</f>
        <v>0.99755187276793356</v>
      </c>
      <c r="D26" s="77"/>
      <c r="E26" s="78"/>
      <c r="F26" s="79">
        <f>F$25+C26</f>
        <v>20.221941872767935</v>
      </c>
      <c r="G26" s="80"/>
      <c r="H26" s="27">
        <f t="shared" ref="H26:H28" si="13">F26/A26</f>
        <v>0.64869021611181232</v>
      </c>
      <c r="I26" s="1">
        <f>C$6*B26</f>
        <v>249.38796819198339</v>
      </c>
      <c r="J26" s="1">
        <f>F26*(I26+J$25)</f>
        <v>103492.43511785852</v>
      </c>
      <c r="K26" s="27">
        <f t="shared" ref="K26:K28" si="14">J26/A26</f>
        <v>3319.8854256894433</v>
      </c>
    </row>
    <row r="27" spans="1:11" x14ac:dyDescent="0.3">
      <c r="A27" s="37">
        <f>'Passenger transport data'!I7</f>
        <v>98.029861710685296</v>
      </c>
      <c r="B27" s="1">
        <f t="shared" ref="B27" si="15">C$7*A27</f>
        <v>7842.3889368548234</v>
      </c>
      <c r="C27" s="76">
        <f t="shared" ref="C27:C28" si="16">B27*C$5/100</f>
        <v>3.1369555747419291</v>
      </c>
      <c r="D27" s="77"/>
      <c r="E27" s="78"/>
      <c r="F27" s="79">
        <f t="shared" ref="F27:F28" si="17">F$25+C27</f>
        <v>22.361345574741932</v>
      </c>
      <c r="G27" s="80"/>
      <c r="H27" s="27">
        <f t="shared" si="13"/>
        <v>0.22810748872355632</v>
      </c>
      <c r="I27" s="1">
        <f t="shared" ref="I27" si="18">C$6*B27</f>
        <v>784.23889368548237</v>
      </c>
      <c r="J27" s="1">
        <f t="shared" ref="J27:J28" si="19">F27*(I27+J$25)</f>
        <v>126401.52322746675</v>
      </c>
      <c r="K27" s="27">
        <f t="shared" si="14"/>
        <v>1289.4185610555537</v>
      </c>
    </row>
    <row r="28" spans="1:11" x14ac:dyDescent="0.3">
      <c r="A28" s="37">
        <f>'Passenger transport data'!J7</f>
        <v>164.88622739737264</v>
      </c>
      <c r="B28" s="1">
        <f>C$7*A28</f>
        <v>13190.898191789811</v>
      </c>
      <c r="C28" s="76">
        <f t="shared" si="16"/>
        <v>5.2763592767159242</v>
      </c>
      <c r="D28" s="77"/>
      <c r="E28" s="78"/>
      <c r="F28" s="79">
        <f t="shared" si="17"/>
        <v>24.500749276715929</v>
      </c>
      <c r="G28" s="80"/>
      <c r="H28" s="27">
        <f t="shared" si="13"/>
        <v>0.14859184823041402</v>
      </c>
      <c r="I28" s="1">
        <f>C$6*B28</f>
        <v>1319.0898191789811</v>
      </c>
      <c r="J28" s="1">
        <f t="shared" si="19"/>
        <v>151599.135437085</v>
      </c>
      <c r="K28" s="27">
        <f t="shared" si="14"/>
        <v>919.41660519488994</v>
      </c>
    </row>
  </sheetData>
  <mergeCells count="39">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 ref="C23:E23"/>
    <mergeCell ref="F20:G20"/>
    <mergeCell ref="F21:G21"/>
    <mergeCell ref="F22:G22"/>
    <mergeCell ref="F23:G23"/>
    <mergeCell ref="F13:G13"/>
    <mergeCell ref="F14:G14"/>
    <mergeCell ref="F15:G15"/>
    <mergeCell ref="E4:E7"/>
    <mergeCell ref="C22:E22"/>
    <mergeCell ref="B4:B6"/>
    <mergeCell ref="C9:E9"/>
    <mergeCell ref="F9:G9"/>
    <mergeCell ref="C11:E11"/>
    <mergeCell ref="F12:G12"/>
    <mergeCell ref="C28:E28"/>
    <mergeCell ref="F28:G28"/>
    <mergeCell ref="C25:E25"/>
    <mergeCell ref="F25:G25"/>
    <mergeCell ref="C26:E26"/>
    <mergeCell ref="F26:G26"/>
    <mergeCell ref="C27:E27"/>
    <mergeCell ref="F27:G27"/>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zoomScale="80" zoomScaleNormal="80" workbookViewId="0">
      <selection activeCell="J18" sqref="J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123</v>
      </c>
      <c r="C2" s="86"/>
      <c r="D2" s="86"/>
      <c r="E2" s="86"/>
      <c r="F2" s="86"/>
      <c r="G2" s="87"/>
    </row>
    <row r="3" spans="1:11" x14ac:dyDescent="0.3">
      <c r="B3" s="19" t="s">
        <v>104</v>
      </c>
      <c r="C3" s="8"/>
      <c r="D3" s="8"/>
      <c r="E3" s="8"/>
      <c r="F3" s="8"/>
      <c r="G3" s="20"/>
    </row>
    <row r="4" spans="1:11" x14ac:dyDescent="0.3">
      <c r="B4" s="88" t="s">
        <v>106</v>
      </c>
      <c r="C4" s="8">
        <f>0.85/100</f>
        <v>8.5000000000000006E-3</v>
      </c>
      <c r="D4" s="8" t="s">
        <v>86</v>
      </c>
      <c r="E4" s="93" t="s">
        <v>112</v>
      </c>
      <c r="F4" s="23" t="s">
        <v>132</v>
      </c>
      <c r="G4" s="24"/>
    </row>
    <row r="5" spans="1:11" x14ac:dyDescent="0.3">
      <c r="B5" s="88"/>
      <c r="C5" s="8"/>
      <c r="D5" s="8"/>
      <c r="E5" s="93"/>
      <c r="F5" s="9" t="s">
        <v>133</v>
      </c>
      <c r="G5" s="20"/>
    </row>
    <row r="6" spans="1:11" x14ac:dyDescent="0.3">
      <c r="B6" s="88"/>
      <c r="C6" s="8">
        <f>2.8/100</f>
        <v>2.7999999999999997E-2</v>
      </c>
      <c r="D6" s="8" t="s">
        <v>66</v>
      </c>
      <c r="E6" s="93"/>
      <c r="F6" s="9">
        <f>'Transport c&amp;e fuel vehicles'!C8</f>
        <v>245.91582782898644</v>
      </c>
      <c r="G6" s="20" t="s">
        <v>108</v>
      </c>
    </row>
    <row r="7" spans="1:11" x14ac:dyDescent="0.3">
      <c r="B7" s="19" t="s">
        <v>110</v>
      </c>
      <c r="C7" s="8">
        <v>70</v>
      </c>
      <c r="D7" s="8" t="s">
        <v>111</v>
      </c>
      <c r="E7" s="93"/>
      <c r="F7" s="47" t="s">
        <v>134</v>
      </c>
      <c r="G7" s="90"/>
    </row>
    <row r="8" spans="1:11" ht="15" thickBot="1" x14ac:dyDescent="0.35">
      <c r="A8" s="83" t="s">
        <v>109</v>
      </c>
      <c r="B8" s="21" t="s">
        <v>131</v>
      </c>
      <c r="C8" s="25">
        <f>'Passenger transport data'!D17*10^3</f>
        <v>301</v>
      </c>
      <c r="D8" s="22" t="s">
        <v>108</v>
      </c>
      <c r="E8" s="22"/>
      <c r="F8" s="91"/>
      <c r="G8" s="92"/>
    </row>
    <row r="9" spans="1:11" x14ac:dyDescent="0.3">
      <c r="A9" s="56"/>
      <c r="B9" s="11" t="s">
        <v>113</v>
      </c>
      <c r="C9" s="84" t="s">
        <v>130</v>
      </c>
      <c r="D9" s="84"/>
      <c r="E9" s="84"/>
      <c r="F9" s="84" t="s">
        <v>129</v>
      </c>
      <c r="G9" s="84"/>
      <c r="H9" s="1" t="s">
        <v>128</v>
      </c>
      <c r="I9" s="1" t="s">
        <v>118</v>
      </c>
      <c r="J9" s="1" t="s">
        <v>119</v>
      </c>
      <c r="K9" s="1" t="s">
        <v>117</v>
      </c>
    </row>
    <row r="10" spans="1:11" x14ac:dyDescent="0.3">
      <c r="A10" s="81" t="s">
        <v>88</v>
      </c>
      <c r="B10" s="81"/>
      <c r="C10" s="81"/>
      <c r="D10" s="81"/>
      <c r="E10" s="81"/>
      <c r="F10" s="81"/>
      <c r="G10" s="81"/>
      <c r="H10" s="81"/>
      <c r="I10" s="81"/>
      <c r="J10" s="81"/>
      <c r="K10" s="81"/>
    </row>
    <row r="11" spans="1:11" x14ac:dyDescent="0.3">
      <c r="A11" s="1">
        <v>1</v>
      </c>
      <c r="B11" s="1">
        <v>0</v>
      </c>
      <c r="C11" s="82">
        <f>C$4*B11/100</f>
        <v>0</v>
      </c>
      <c r="D11" s="82"/>
      <c r="E11" s="82"/>
      <c r="F11" s="98">
        <f>'Passenger transport data'!D12</f>
        <v>0.35523188079617291</v>
      </c>
      <c r="G11" s="98"/>
      <c r="H11" s="27">
        <f>F11/A11</f>
        <v>0.35523188079617291</v>
      </c>
      <c r="I11" s="1">
        <v>0</v>
      </c>
      <c r="J11" s="1">
        <f>C$8*F11</f>
        <v>106.92479611964805</v>
      </c>
      <c r="K11" s="27">
        <f>J11/A11</f>
        <v>106.92479611964805</v>
      </c>
    </row>
    <row r="12" spans="1:11" x14ac:dyDescent="0.3">
      <c r="A12" s="1">
        <v>2</v>
      </c>
      <c r="B12" s="1">
        <f>B11+C$7</f>
        <v>70</v>
      </c>
      <c r="C12" s="82">
        <f t="shared" ref="C12:C15" si="0">C$4*B12/100</f>
        <v>5.9500000000000004E-3</v>
      </c>
      <c r="D12" s="82"/>
      <c r="E12" s="82"/>
      <c r="F12" s="82">
        <f>F$11+C12</f>
        <v>0.36118188079617292</v>
      </c>
      <c r="G12" s="82"/>
      <c r="H12" s="27">
        <f t="shared" ref="H12:H15" si="1">F12/A12</f>
        <v>0.18059094039808646</v>
      </c>
      <c r="I12" s="1">
        <f>C$6*B12</f>
        <v>1.9599999999999997</v>
      </c>
      <c r="J12" s="1">
        <f>F12*(I12+J$11)</f>
        <v>39.32721545260231</v>
      </c>
      <c r="K12" s="27">
        <f t="shared" ref="K12:K15" si="2">J12/A12</f>
        <v>19.663607726301155</v>
      </c>
    </row>
    <row r="13" spans="1:11" x14ac:dyDescent="0.3">
      <c r="A13" s="1">
        <v>3</v>
      </c>
      <c r="B13" s="1">
        <f t="shared" ref="B13:B15" si="3">B12+C$7</f>
        <v>140</v>
      </c>
      <c r="C13" s="82">
        <f t="shared" si="0"/>
        <v>1.1900000000000001E-2</v>
      </c>
      <c r="D13" s="82"/>
      <c r="E13" s="82"/>
      <c r="F13" s="82">
        <f t="shared" ref="F13:F15" si="4">F$11+C13</f>
        <v>0.36713188079617293</v>
      </c>
      <c r="G13" s="82"/>
      <c r="H13" s="27">
        <f t="shared" si="1"/>
        <v>0.1223772935987243</v>
      </c>
      <c r="I13" s="1">
        <f t="shared" ref="I13:I15" si="5">C$6*B13</f>
        <v>3.9199999999999995</v>
      </c>
      <c r="J13" s="1">
        <f t="shared" ref="J13:J15" si="6">F13*(I13+J$11)</f>
        <v>40.694658475874718</v>
      </c>
      <c r="K13" s="27">
        <f t="shared" si="2"/>
        <v>13.564886158624907</v>
      </c>
    </row>
    <row r="14" spans="1:11" x14ac:dyDescent="0.3">
      <c r="A14" s="1">
        <v>4</v>
      </c>
      <c r="B14" s="1">
        <f t="shared" si="3"/>
        <v>210</v>
      </c>
      <c r="C14" s="82">
        <f t="shared" si="0"/>
        <v>1.7850000000000001E-2</v>
      </c>
      <c r="D14" s="82"/>
      <c r="E14" s="82"/>
      <c r="F14" s="82">
        <f t="shared" si="4"/>
        <v>0.37308188079617288</v>
      </c>
      <c r="G14" s="82"/>
      <c r="H14" s="27">
        <f t="shared" si="1"/>
        <v>9.3270470199043221E-2</v>
      </c>
      <c r="I14" s="1">
        <f t="shared" si="5"/>
        <v>5.879999999999999</v>
      </c>
      <c r="J14" s="1">
        <f t="shared" si="6"/>
        <v>42.085425499147121</v>
      </c>
      <c r="K14" s="27">
        <f t="shared" si="2"/>
        <v>10.52135637478678</v>
      </c>
    </row>
    <row r="15" spans="1:11" x14ac:dyDescent="0.3">
      <c r="A15" s="1">
        <v>5</v>
      </c>
      <c r="B15" s="1">
        <f t="shared" si="3"/>
        <v>280</v>
      </c>
      <c r="C15" s="82">
        <f t="shared" si="0"/>
        <v>2.3800000000000002E-2</v>
      </c>
      <c r="D15" s="82"/>
      <c r="E15" s="82"/>
      <c r="F15" s="82">
        <f t="shared" si="4"/>
        <v>0.37903188079617289</v>
      </c>
      <c r="G15" s="82"/>
      <c r="H15" s="27">
        <f t="shared" si="1"/>
        <v>7.5806376159234579E-2</v>
      </c>
      <c r="I15" s="1">
        <f t="shared" si="5"/>
        <v>7.839999999999999</v>
      </c>
      <c r="J15" s="1">
        <f t="shared" si="6"/>
        <v>43.499516522419526</v>
      </c>
      <c r="K15" s="27">
        <f t="shared" si="2"/>
        <v>8.6999033044839056</v>
      </c>
    </row>
    <row r="16" spans="1:11" x14ac:dyDescent="0.3">
      <c r="A16" s="99" t="s">
        <v>89</v>
      </c>
      <c r="B16" s="100"/>
      <c r="C16" s="100"/>
      <c r="D16" s="100"/>
      <c r="E16" s="100"/>
      <c r="F16" s="100"/>
      <c r="G16" s="100"/>
      <c r="H16" s="100"/>
      <c r="I16" s="100"/>
      <c r="J16" s="100"/>
      <c r="K16" s="101"/>
    </row>
    <row r="17" spans="1:11" x14ac:dyDescent="0.3">
      <c r="A17" s="1">
        <v>1</v>
      </c>
      <c r="B17" s="1">
        <v>0</v>
      </c>
      <c r="C17" s="76">
        <f>B17*(0.5*C$4+0.5*'Transport c&amp;e fuel vehicles'!C$5)/100</f>
        <v>0</v>
      </c>
      <c r="D17" s="77"/>
      <c r="E17" s="78"/>
      <c r="F17" s="94">
        <f>'Passenger transport data'!D11</f>
        <v>0.39886085311519276</v>
      </c>
      <c r="G17" s="95"/>
      <c r="H17" s="27">
        <f>F17/A17</f>
        <v>0.39886085311519276</v>
      </c>
      <c r="I17" s="1">
        <v>0</v>
      </c>
      <c r="J17" s="1">
        <f>F17*(0.5*C$8+0.5*F$6)</f>
        <v>109.07165683503571</v>
      </c>
      <c r="K17" s="27">
        <f>J17/A17</f>
        <v>109.07165683503571</v>
      </c>
    </row>
    <row r="18" spans="1:11" x14ac:dyDescent="0.3">
      <c r="A18" s="1">
        <v>2</v>
      </c>
      <c r="B18" s="1">
        <f>C$7+B17</f>
        <v>70</v>
      </c>
      <c r="C18" s="76">
        <f>B18*(0.5*C$4+0.5*'Transport c&amp;e fuel vehicles'!C$5)/100</f>
        <v>1.6975000000000001E-2</v>
      </c>
      <c r="D18" s="77"/>
      <c r="E18" s="78"/>
      <c r="F18" s="76">
        <f>F$17+C18</f>
        <v>0.41583585311519278</v>
      </c>
      <c r="G18" s="78"/>
      <c r="H18" s="27">
        <f t="shared" ref="H18:H21" si="7">F18/A18</f>
        <v>0.20791792655759639</v>
      </c>
      <c r="I18" s="1">
        <f>B18*(0.5*C$6+0.5*'Transport c&amp;e fuel vehicles'!C$6)/100</f>
        <v>4.4800000000000006E-2</v>
      </c>
      <c r="J18" s="1">
        <f>F18*(I18+J$17)</f>
        <v>45.374534916904182</v>
      </c>
      <c r="K18" s="27">
        <f t="shared" ref="K18:K21" si="8">J18/A18</f>
        <v>22.687267458452091</v>
      </c>
    </row>
    <row r="19" spans="1:11" x14ac:dyDescent="0.3">
      <c r="A19" s="1">
        <v>3</v>
      </c>
      <c r="B19" s="1">
        <f t="shared" ref="B19:B21" si="9">C$7+B18</f>
        <v>140</v>
      </c>
      <c r="C19" s="76">
        <f>B19*(0.5*C$4+0.5*'Transport c&amp;e fuel vehicles'!C$5)/100</f>
        <v>3.3950000000000001E-2</v>
      </c>
      <c r="D19" s="77"/>
      <c r="E19" s="78"/>
      <c r="F19" s="76">
        <f t="shared" ref="F19:F21" si="10">F$17+C19</f>
        <v>0.43281085311519274</v>
      </c>
      <c r="G19" s="78"/>
      <c r="H19" s="27">
        <f t="shared" si="7"/>
        <v>0.14427028437173092</v>
      </c>
      <c r="I19" s="1">
        <f>B19*(0.5*C$6+0.5*'Transport c&amp;e fuel vehicles'!C$6)/100</f>
        <v>8.9600000000000013E-2</v>
      </c>
      <c r="J19" s="1">
        <f t="shared" ref="J19:J21" si="11">F19*(I19+J$17)</f>
        <v>47.24617669789847</v>
      </c>
      <c r="K19" s="27">
        <f t="shared" si="8"/>
        <v>15.748725565966156</v>
      </c>
    </row>
    <row r="20" spans="1:11" x14ac:dyDescent="0.3">
      <c r="A20" s="1">
        <v>4</v>
      </c>
      <c r="B20" s="1">
        <f t="shared" si="9"/>
        <v>210</v>
      </c>
      <c r="C20" s="76">
        <f>B20*(0.5*C$4+0.5*'Transport c&amp;e fuel vehicles'!C$5)/100</f>
        <v>5.0925000000000005E-2</v>
      </c>
      <c r="D20" s="77"/>
      <c r="E20" s="78"/>
      <c r="F20" s="76">
        <f t="shared" si="10"/>
        <v>0.44978585311519276</v>
      </c>
      <c r="G20" s="78"/>
      <c r="H20" s="27">
        <f t="shared" si="7"/>
        <v>0.11244646327879819</v>
      </c>
      <c r="I20" s="1">
        <f>B20*(0.5*C$6+0.5*'Transport c&amp;e fuel vehicles'!C$6)/100</f>
        <v>0.13439999999999999</v>
      </c>
      <c r="J20" s="1">
        <f t="shared" si="11"/>
        <v>49.119339438892766</v>
      </c>
      <c r="K20" s="27">
        <f t="shared" si="8"/>
        <v>12.279834859723191</v>
      </c>
    </row>
    <row r="21" spans="1:11" x14ac:dyDescent="0.3">
      <c r="A21" s="1">
        <v>5</v>
      </c>
      <c r="B21" s="1">
        <f t="shared" si="9"/>
        <v>280</v>
      </c>
      <c r="C21" s="76">
        <f>B21*(0.5*C$4+0.5*'Transport c&amp;e fuel vehicles'!C$5)/100</f>
        <v>6.7900000000000002E-2</v>
      </c>
      <c r="D21" s="77"/>
      <c r="E21" s="78"/>
      <c r="F21" s="76">
        <f t="shared" si="10"/>
        <v>0.46676085311519278</v>
      </c>
      <c r="G21" s="78"/>
      <c r="H21" s="27">
        <f t="shared" si="7"/>
        <v>9.335217062303855E-2</v>
      </c>
      <c r="I21" s="1">
        <f>B21*(0.5*C$6+0.5*'Transport c&amp;e fuel vehicles'!C$6)/100</f>
        <v>0.17920000000000003</v>
      </c>
      <c r="J21" s="1">
        <f t="shared" si="11"/>
        <v>50.994023139887055</v>
      </c>
      <c r="K21" s="27">
        <f t="shared" si="8"/>
        <v>10.198804627977411</v>
      </c>
    </row>
    <row r="22" spans="1:11" x14ac:dyDescent="0.3">
      <c r="A22" s="81" t="s">
        <v>124</v>
      </c>
      <c r="B22" s="81"/>
      <c r="C22" s="81"/>
      <c r="D22" s="81"/>
      <c r="E22" s="81"/>
      <c r="F22" s="81"/>
      <c r="G22" s="81"/>
      <c r="H22" s="81"/>
      <c r="I22" s="81"/>
      <c r="J22" s="81"/>
      <c r="K22" s="81"/>
    </row>
    <row r="23" spans="1:11" x14ac:dyDescent="0.3">
      <c r="A23" s="1">
        <v>1</v>
      </c>
      <c r="B23" s="1">
        <v>0</v>
      </c>
      <c r="C23" s="82">
        <f>C$5*B23/100</f>
        <v>0</v>
      </c>
      <c r="D23" s="82"/>
      <c r="E23" s="82"/>
      <c r="F23" s="98">
        <f>'electric veh relation'!F8</f>
        <v>0.14374499362449789</v>
      </c>
      <c r="G23" s="98"/>
      <c r="H23" s="27">
        <f>F23/A23</f>
        <v>0.14374499362449789</v>
      </c>
      <c r="I23" s="1">
        <v>0</v>
      </c>
      <c r="J23" s="1">
        <f>C$8*F23</f>
        <v>43.267243080973863</v>
      </c>
      <c r="K23" s="27">
        <f>J23/A23</f>
        <v>43.267243080973863</v>
      </c>
    </row>
    <row r="24" spans="1:11" x14ac:dyDescent="0.3">
      <c r="A24" s="1">
        <v>2</v>
      </c>
      <c r="B24" s="1">
        <f>C7+B23</f>
        <v>70</v>
      </c>
      <c r="C24" s="82">
        <f>C$5*B24/100</f>
        <v>0</v>
      </c>
      <c r="D24" s="82"/>
      <c r="E24" s="82"/>
      <c r="F24" s="82">
        <f>F23+C24</f>
        <v>0.14374499362449789</v>
      </c>
      <c r="G24" s="82"/>
      <c r="H24" s="27">
        <f>F24/A24</f>
        <v>7.1872496812248943E-2</v>
      </c>
      <c r="I24" s="1">
        <f>C6*B24</f>
        <v>1.9599999999999997</v>
      </c>
      <c r="J24" s="1">
        <f>F24*(I24+J23)</f>
        <v>6.5011897683282038</v>
      </c>
      <c r="K24" s="27">
        <f>J24/A24</f>
        <v>3.2505948841641019</v>
      </c>
    </row>
    <row r="25" spans="1:11" x14ac:dyDescent="0.3">
      <c r="A25" s="99" t="s">
        <v>125</v>
      </c>
      <c r="B25" s="100"/>
      <c r="C25" s="100"/>
      <c r="D25" s="100"/>
      <c r="E25" s="100"/>
      <c r="F25" s="100"/>
      <c r="G25" s="100"/>
      <c r="H25" s="100"/>
      <c r="I25" s="100"/>
      <c r="J25" s="100"/>
      <c r="K25" s="101"/>
    </row>
    <row r="26" spans="1:11" x14ac:dyDescent="0.3">
      <c r="A26" s="1">
        <v>1</v>
      </c>
      <c r="B26" s="1">
        <v>0</v>
      </c>
      <c r="C26" s="76">
        <f>C$4*B26/100</f>
        <v>0</v>
      </c>
      <c r="D26" s="77"/>
      <c r="E26" s="78"/>
      <c r="F26" s="94">
        <f>'electric veh relation'!F9</f>
        <v>1.2908135203349307E-2</v>
      </c>
      <c r="G26" s="95"/>
      <c r="H26" s="27">
        <f>F26/A26</f>
        <v>1.2908135203349307E-2</v>
      </c>
      <c r="I26" s="1">
        <v>0</v>
      </c>
      <c r="J26" s="1">
        <f>C$8*F26</f>
        <v>3.8853486962081414</v>
      </c>
      <c r="K26" s="27">
        <f>J26/A26</f>
        <v>3.8853486962081414</v>
      </c>
    </row>
    <row r="27" spans="1:11" x14ac:dyDescent="0.3">
      <c r="A27" s="99" t="s">
        <v>126</v>
      </c>
      <c r="B27" s="100"/>
      <c r="C27" s="100"/>
      <c r="D27" s="100"/>
      <c r="E27" s="100"/>
      <c r="F27" s="100"/>
      <c r="G27" s="100"/>
      <c r="H27" s="100"/>
      <c r="I27" s="100"/>
      <c r="J27" s="100"/>
      <c r="K27" s="101"/>
    </row>
    <row r="28" spans="1:11" x14ac:dyDescent="0.3">
      <c r="A28" s="1">
        <v>1</v>
      </c>
      <c r="B28" s="1">
        <v>0</v>
      </c>
      <c r="C28" s="76">
        <f>C$4*B28/100</f>
        <v>0</v>
      </c>
      <c r="D28" s="77"/>
      <c r="E28" s="78"/>
      <c r="F28" s="94">
        <f>'electric veh relation'!F10</f>
        <v>2.7984837120861299E-2</v>
      </c>
      <c r="G28" s="95"/>
      <c r="H28" s="27">
        <f>F28/A28</f>
        <v>2.7984837120861299E-2</v>
      </c>
      <c r="I28" s="1">
        <v>0</v>
      </c>
      <c r="J28" s="1">
        <f>C$8*F28</f>
        <v>8.4234359733792505</v>
      </c>
      <c r="K28" s="27">
        <f>J28/A28</f>
        <v>8.4234359733792505</v>
      </c>
    </row>
    <row r="29" spans="1:11" x14ac:dyDescent="0.3">
      <c r="A29" s="99" t="s">
        <v>127</v>
      </c>
      <c r="B29" s="100"/>
      <c r="C29" s="100"/>
      <c r="D29" s="100"/>
      <c r="E29" s="100"/>
      <c r="F29" s="100"/>
      <c r="G29" s="100"/>
      <c r="H29" s="100"/>
      <c r="I29" s="100"/>
      <c r="J29" s="100"/>
      <c r="K29" s="101"/>
    </row>
    <row r="30" spans="1:11" x14ac:dyDescent="0.3">
      <c r="A30" s="1">
        <v>1</v>
      </c>
      <c r="B30" s="1">
        <v>0</v>
      </c>
      <c r="C30" s="76">
        <f>C$4*B30/100</f>
        <v>0</v>
      </c>
      <c r="D30" s="77"/>
      <c r="E30" s="78"/>
      <c r="F30" s="94">
        <f>'Passenger transport data'!D24</f>
        <v>3.5820773086749202</v>
      </c>
      <c r="G30" s="95"/>
      <c r="H30" s="2">
        <f>F30/A30</f>
        <v>3.5820773086749202</v>
      </c>
      <c r="I30" s="1">
        <v>0</v>
      </c>
      <c r="J30" s="1">
        <f>C$8*F30</f>
        <v>1078.2052699111509</v>
      </c>
      <c r="K30" s="27">
        <f>J30/A30</f>
        <v>1078.2052699111509</v>
      </c>
    </row>
    <row r="31" spans="1:11" x14ac:dyDescent="0.3">
      <c r="A31" s="18">
        <f>'Passenger transport data'!H6</f>
        <v>24.677019429377829</v>
      </c>
      <c r="B31" s="1">
        <f>C$7*A31</f>
        <v>1727.3913600564481</v>
      </c>
      <c r="C31" s="76">
        <f t="shared" ref="C31:C33" si="12">C$4*B31/100</f>
        <v>0.14682826560479811</v>
      </c>
      <c r="D31" s="77"/>
      <c r="E31" s="78"/>
      <c r="F31" s="76">
        <f>F$30+C31</f>
        <v>3.7289055742797181</v>
      </c>
      <c r="G31" s="78"/>
      <c r="H31" s="27">
        <f t="shared" ref="H31:H33" si="13">F31/A31</f>
        <v>0.15110842640260194</v>
      </c>
      <c r="I31" s="1">
        <f>C$6*B31</f>
        <v>48.366958081580542</v>
      </c>
      <c r="J31" s="1">
        <f>F31*(I31+J$30)</f>
        <v>4200.881460790818</v>
      </c>
      <c r="K31" s="27">
        <f t="shared" ref="K31:K33" si="14">J31/A31</f>
        <v>170.23455660085497</v>
      </c>
    </row>
    <row r="32" spans="1:11" x14ac:dyDescent="0.3">
      <c r="A32" s="18">
        <f>'Passenger transport data'!I6</f>
        <v>77.600690029490025</v>
      </c>
      <c r="B32" s="1">
        <f>C$7*A32</f>
        <v>5432.0483020643014</v>
      </c>
      <c r="C32" s="76">
        <f t="shared" si="12"/>
        <v>0.46172410567546562</v>
      </c>
      <c r="D32" s="77"/>
      <c r="E32" s="78"/>
      <c r="F32" s="76">
        <f t="shared" ref="F32:F33" si="15">F$30+C32</f>
        <v>4.0438014143503862</v>
      </c>
      <c r="G32" s="78"/>
      <c r="H32" s="27">
        <f t="shared" si="13"/>
        <v>5.2110379596027427E-2</v>
      </c>
      <c r="I32" s="1">
        <f t="shared" ref="I32:I33" si="16">C$6*B32</f>
        <v>152.09735245780041</v>
      </c>
      <c r="J32" s="1">
        <f t="shared" ref="J32:J33" si="17">F32*(I32+J$30)</f>
        <v>4975.0994844145544</v>
      </c>
      <c r="K32" s="27">
        <f t="shared" si="14"/>
        <v>64.111536669634035</v>
      </c>
    </row>
    <row r="33" spans="1:11" x14ac:dyDescent="0.3">
      <c r="A33" s="18">
        <f>'Passenger transport data'!J6</f>
        <v>130.52436062960223</v>
      </c>
      <c r="B33" s="1">
        <f>C$7*A33</f>
        <v>9136.7052440721563</v>
      </c>
      <c r="C33" s="76">
        <f t="shared" si="12"/>
        <v>0.77661994574613336</v>
      </c>
      <c r="D33" s="77"/>
      <c r="E33" s="78"/>
      <c r="F33" s="76">
        <f t="shared" si="15"/>
        <v>4.3586972544210534</v>
      </c>
      <c r="G33" s="78"/>
      <c r="H33" s="27">
        <f t="shared" si="13"/>
        <v>3.3393745300848647E-2</v>
      </c>
      <c r="I33" s="1">
        <f t="shared" si="16"/>
        <v>255.82774683402036</v>
      </c>
      <c r="J33" s="1">
        <f t="shared" si="17"/>
        <v>5814.6460473942134</v>
      </c>
      <c r="K33" s="27">
        <f t="shared" si="14"/>
        <v>44.548358784111009</v>
      </c>
    </row>
    <row r="34" spans="1:11" x14ac:dyDescent="0.3">
      <c r="A34" s="99" t="s">
        <v>102</v>
      </c>
      <c r="B34" s="100"/>
      <c r="C34" s="100"/>
      <c r="D34" s="100"/>
      <c r="E34" s="100"/>
      <c r="F34" s="100"/>
      <c r="G34" s="100"/>
      <c r="H34" s="100"/>
      <c r="I34" s="100"/>
      <c r="J34" s="100"/>
      <c r="K34" s="101"/>
    </row>
    <row r="35" spans="1:11" x14ac:dyDescent="0.3">
      <c r="A35" s="1">
        <v>1</v>
      </c>
      <c r="B35" s="1">
        <v>0</v>
      </c>
      <c r="C35" s="76">
        <f>C$4*B35/100</f>
        <v>0</v>
      </c>
      <c r="D35" s="77"/>
      <c r="E35" s="78"/>
      <c r="F35" s="94">
        <f>'Passenger transport data'!D26</f>
        <v>10.991642663817371</v>
      </c>
      <c r="G35" s="95"/>
      <c r="H35" s="2">
        <f>F35/A35</f>
        <v>10.991642663817371</v>
      </c>
      <c r="I35" s="1">
        <v>0</v>
      </c>
      <c r="J35" s="34">
        <f>C$8*F35</f>
        <v>3308.4844418090288</v>
      </c>
      <c r="K35" s="27">
        <f>J35/A35</f>
        <v>3308.4844418090288</v>
      </c>
    </row>
    <row r="36" spans="1:11" x14ac:dyDescent="0.3">
      <c r="A36" s="18">
        <f>'Passenger transport data'!H7</f>
        <v>31.173496023997924</v>
      </c>
      <c r="B36" s="1">
        <f>C$7*A36</f>
        <v>2182.1447216798547</v>
      </c>
      <c r="C36" s="76">
        <f t="shared" ref="C36:C38" si="18">C$4*B36/100</f>
        <v>0.18548230134278768</v>
      </c>
      <c r="D36" s="77"/>
      <c r="E36" s="78"/>
      <c r="F36" s="76">
        <f>F$35+C36</f>
        <v>11.177124965160159</v>
      </c>
      <c r="G36" s="78"/>
      <c r="H36" s="27">
        <f t="shared" ref="H36:H38" si="19">F36/A36</f>
        <v>0.35854576453522585</v>
      </c>
      <c r="I36" s="1">
        <f>C$6*B36</f>
        <v>61.100052207035922</v>
      </c>
      <c r="J36" s="34">
        <f>F36*(I36+J$35)</f>
        <v>37662.266970283519</v>
      </c>
      <c r="K36" s="27">
        <f t="shared" ref="K36:K38" si="20">J36/A36</f>
        <v>1208.1502485730321</v>
      </c>
    </row>
    <row r="37" spans="1:11" x14ac:dyDescent="0.3">
      <c r="A37" s="18">
        <f>'Passenger transport data'!I7</f>
        <v>98.029861710685296</v>
      </c>
      <c r="B37" s="1">
        <f t="shared" ref="B37:B38" si="21">C$7*A37</f>
        <v>6862.0903197479711</v>
      </c>
      <c r="C37" s="76">
        <f t="shared" si="18"/>
        <v>0.58327767717857759</v>
      </c>
      <c r="D37" s="77"/>
      <c r="E37" s="78"/>
      <c r="F37" s="76">
        <f t="shared" ref="F37:F38" si="22">F$35+C37</f>
        <v>11.574920340995948</v>
      </c>
      <c r="G37" s="78"/>
      <c r="H37" s="27">
        <f t="shared" si="19"/>
        <v>0.11807545312220181</v>
      </c>
      <c r="I37" s="1">
        <f t="shared" ref="I37:I38" si="23">C$6*B37</f>
        <v>192.13852895294318</v>
      </c>
      <c r="J37" s="34">
        <f t="shared" ref="J37:J38" si="24">F37*(I37+J$35)</f>
        <v>40519.432030430413</v>
      </c>
      <c r="K37" s="27">
        <f t="shared" si="20"/>
        <v>413.33764348270807</v>
      </c>
    </row>
    <row r="38" spans="1:11" x14ac:dyDescent="0.3">
      <c r="A38" s="18">
        <f>'Passenger transport data'!J7</f>
        <v>164.88622739737264</v>
      </c>
      <c r="B38" s="1">
        <f t="shared" si="21"/>
        <v>11542.035917816085</v>
      </c>
      <c r="C38" s="76">
        <f t="shared" si="18"/>
        <v>0.9810730530143672</v>
      </c>
      <c r="D38" s="77"/>
      <c r="E38" s="78"/>
      <c r="F38" s="76">
        <f t="shared" si="22"/>
        <v>11.972715716831738</v>
      </c>
      <c r="G38" s="78"/>
      <c r="H38" s="27">
        <f t="shared" si="19"/>
        <v>7.2611981642212747E-2</v>
      </c>
      <c r="I38" s="1">
        <f t="shared" si="23"/>
        <v>323.17700569885034</v>
      </c>
      <c r="J38" s="34">
        <f t="shared" si="24"/>
        <v>43480.850090789485</v>
      </c>
      <c r="K38" s="27">
        <f t="shared" si="20"/>
        <v>263.70213435717386</v>
      </c>
    </row>
    <row r="39" spans="1:11" x14ac:dyDescent="0.3">
      <c r="A39" s="81" t="s">
        <v>103</v>
      </c>
      <c r="B39" s="81"/>
      <c r="C39" s="81"/>
      <c r="D39" s="81"/>
      <c r="E39" s="81"/>
      <c r="F39" s="81"/>
      <c r="G39" s="81"/>
      <c r="H39" s="81"/>
      <c r="I39" s="81"/>
      <c r="J39" s="81"/>
      <c r="K39" s="81"/>
    </row>
    <row r="40" spans="1:11" x14ac:dyDescent="0.3">
      <c r="A40" s="1">
        <v>1</v>
      </c>
      <c r="B40" s="1">
        <v>0</v>
      </c>
      <c r="C40" s="76">
        <f>B40*C$4/100</f>
        <v>0</v>
      </c>
      <c r="D40" s="77"/>
      <c r="E40" s="78"/>
      <c r="F40" s="94">
        <f>'Passenger transport data'!D27</f>
        <v>17.822057025160252</v>
      </c>
      <c r="G40" s="95"/>
      <c r="H40" s="1">
        <f>F40/A40</f>
        <v>17.822057025160252</v>
      </c>
      <c r="I40" s="1">
        <v>0</v>
      </c>
      <c r="J40" s="1">
        <f>C$8*F40</f>
        <v>5364.4391645732358</v>
      </c>
      <c r="K40" s="1">
        <f>J40/A40</f>
        <v>5364.4391645732358</v>
      </c>
    </row>
    <row r="41" spans="1:11" x14ac:dyDescent="0.3">
      <c r="A41" s="18">
        <f>'Passenger transport data'!H8</f>
        <v>69.979607337041585</v>
      </c>
      <c r="B41" s="1">
        <f>C$7*A41</f>
        <v>4898.5725135929106</v>
      </c>
      <c r="C41" s="76">
        <f t="shared" ref="C41:C43" si="25">B41*C$4/100</f>
        <v>0.41637866365539744</v>
      </c>
      <c r="D41" s="77"/>
      <c r="E41" s="78"/>
      <c r="F41" s="76">
        <f>F$40+C41</f>
        <v>18.238435688815649</v>
      </c>
      <c r="G41" s="78"/>
      <c r="H41" s="27">
        <f t="shared" ref="H41:H43" si="26">F41/A41</f>
        <v>0.26062500752503776</v>
      </c>
      <c r="I41" s="1">
        <f>C$6*B41</f>
        <v>137.16003038060148</v>
      </c>
      <c r="J41" s="1">
        <f>F41*(I41+J$40)</f>
        <v>100340.56310280551</v>
      </c>
      <c r="K41" s="27">
        <f t="shared" ref="K41:K43" si="27">J41/A41</f>
        <v>1433.8543315845855</v>
      </c>
    </row>
    <row r="42" spans="1:11" x14ac:dyDescent="0.3">
      <c r="A42" s="18">
        <f>'Passenger transport data'!I8</f>
        <v>220.06165829258362</v>
      </c>
      <c r="B42" s="1">
        <f t="shared" ref="B42:B43" si="28">C$7*A42</f>
        <v>15404.316080480854</v>
      </c>
      <c r="C42" s="76">
        <f t="shared" si="25"/>
        <v>1.3093668668408727</v>
      </c>
      <c r="D42" s="77"/>
      <c r="E42" s="78"/>
      <c r="F42" s="76">
        <f>F$40+C42</f>
        <v>19.131423892001123</v>
      </c>
      <c r="G42" s="78"/>
      <c r="H42" s="27">
        <f t="shared" si="26"/>
        <v>8.6936652392961986E-2</v>
      </c>
      <c r="I42" s="1">
        <f t="shared" ref="I42:I43" si="29">C$6*B42</f>
        <v>431.32085025346385</v>
      </c>
      <c r="J42" s="1">
        <f t="shared" ref="J42:J43" si="30">F42*(I42+J$40)</f>
        <v>110881.1416199603</v>
      </c>
      <c r="K42" s="27">
        <f t="shared" si="27"/>
        <v>503.863973762017</v>
      </c>
    </row>
    <row r="43" spans="1:11" x14ac:dyDescent="0.3">
      <c r="A43" s="18">
        <f>'Passenger transport data'!J8</f>
        <v>370.14370924812562</v>
      </c>
      <c r="B43" s="1">
        <f t="shared" si="28"/>
        <v>25910.059647368795</v>
      </c>
      <c r="C43" s="76">
        <f t="shared" si="25"/>
        <v>2.2023550700263477</v>
      </c>
      <c r="D43" s="77"/>
      <c r="E43" s="78"/>
      <c r="F43" s="76">
        <f t="shared" ref="F43" si="31">F$40+C43</f>
        <v>20.024412095186598</v>
      </c>
      <c r="G43" s="78"/>
      <c r="H43" s="27">
        <f t="shared" si="26"/>
        <v>5.4099020447658734E-2</v>
      </c>
      <c r="I43" s="1">
        <f t="shared" si="29"/>
        <v>725.48167012632621</v>
      </c>
      <c r="J43" s="1">
        <f t="shared" si="30"/>
        <v>121947.08442108677</v>
      </c>
      <c r="K43" s="27">
        <f t="shared" si="27"/>
        <v>329.45875176103453</v>
      </c>
    </row>
  </sheetData>
  <mergeCells count="67">
    <mergeCell ref="A25:K25"/>
    <mergeCell ref="A27:K27"/>
    <mergeCell ref="A29:K29"/>
    <mergeCell ref="A34:K34"/>
    <mergeCell ref="C26:E26"/>
    <mergeCell ref="C28:E28"/>
    <mergeCell ref="C33:E33"/>
    <mergeCell ref="F26:G26"/>
    <mergeCell ref="F28:G28"/>
    <mergeCell ref="F30:G30"/>
    <mergeCell ref="C19:E19"/>
    <mergeCell ref="C20:E20"/>
    <mergeCell ref="C21:E21"/>
    <mergeCell ref="C24:E24"/>
    <mergeCell ref="C23:E23"/>
    <mergeCell ref="C38:E38"/>
    <mergeCell ref="C42:E42"/>
    <mergeCell ref="F42:G42"/>
    <mergeCell ref="F35:G35"/>
    <mergeCell ref="F36:G36"/>
    <mergeCell ref="F37:G37"/>
    <mergeCell ref="F38:G38"/>
    <mergeCell ref="C37:E37"/>
    <mergeCell ref="C36:E36"/>
    <mergeCell ref="C35:E35"/>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B2:G2"/>
    <mergeCell ref="B4:B6"/>
    <mergeCell ref="E4:E7"/>
    <mergeCell ref="A10:K10"/>
    <mergeCell ref="C11:E11"/>
    <mergeCell ref="F11:G11"/>
    <mergeCell ref="A8:A9"/>
    <mergeCell ref="C9:E9"/>
    <mergeCell ref="F9:G9"/>
    <mergeCell ref="F7:G8"/>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4"/>
      <c r="F6" s="1" t="s">
        <v>41</v>
      </c>
    </row>
    <row r="7" spans="1:6" x14ac:dyDescent="0.3">
      <c r="B7" s="1" t="s">
        <v>97</v>
      </c>
      <c r="C7" s="1">
        <v>17.2</v>
      </c>
      <c r="D7" s="1">
        <f>C7/100</f>
        <v>0.17199999999999999</v>
      </c>
      <c r="E7" s="1" t="s">
        <v>98</v>
      </c>
      <c r="F7" s="26">
        <f>'Passenger transport data'!D12</f>
        <v>0.35523188079617291</v>
      </c>
    </row>
    <row r="8" spans="1:6" x14ac:dyDescent="0.3">
      <c r="B8" s="1" t="s">
        <v>99</v>
      </c>
      <c r="C8" s="1">
        <v>6.96</v>
      </c>
      <c r="D8" s="1">
        <f t="shared" ref="D8:D10" si="0">C8/100</f>
        <v>6.9599999999999995E-2</v>
      </c>
      <c r="E8" s="1">
        <f>D8/D$7</f>
        <v>0.40465116279069768</v>
      </c>
      <c r="F8" s="1">
        <f>F$7*E8</f>
        <v>0.14374499362449789</v>
      </c>
    </row>
    <row r="9" spans="1:6" x14ac:dyDescent="0.3">
      <c r="B9" s="1" t="s">
        <v>100</v>
      </c>
      <c r="C9" s="1">
        <v>0.625</v>
      </c>
      <c r="D9" s="1">
        <f t="shared" si="0"/>
        <v>6.2500000000000003E-3</v>
      </c>
      <c r="E9" s="1">
        <f>D9/D$7</f>
        <v>3.6337209302325583E-2</v>
      </c>
      <c r="F9" s="1">
        <f t="shared" ref="F9:F10" si="1">F$7*E9</f>
        <v>1.2908135203349307E-2</v>
      </c>
    </row>
    <row r="10" spans="1:6" x14ac:dyDescent="0.3">
      <c r="B10" s="1" t="s">
        <v>101</v>
      </c>
      <c r="C10" s="1">
        <v>1.355</v>
      </c>
      <c r="D10" s="1">
        <f t="shared" si="0"/>
        <v>1.355E-2</v>
      </c>
      <c r="E10" s="1">
        <f>D10/D$7</f>
        <v>7.8779069767441867E-2</v>
      </c>
      <c r="F10" s="1">
        <f t="shared" si="1"/>
        <v>2.7984837120861299E-2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6526EA1-6DB0-48E3-A8EA-E2FB1D619FD6}">
  <ds:schemaRefs>
    <ds:schemaRef ds:uri="http://schemas.microsoft.com/sharepoint/v3/contenttype/forms"/>
  </ds:schemaRefs>
</ds:datastoreItem>
</file>

<file path=customXml/itemProps2.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2022-06-27T11:32:53Z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